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grant16\Documents\My Webs\Green\benefits\docs\content\assets\docs\"/>
    </mc:Choice>
  </mc:AlternateContent>
  <xr:revisionPtr revIDLastSave="0" documentId="8_{FA81FD57-082C-46FE-AC7C-9BD20C39DC8F}" xr6:coauthVersionLast="46" xr6:coauthVersionMax="46" xr10:uidLastSave="{00000000-0000-0000-0000-000000000000}"/>
  <workbookProtection workbookAlgorithmName="SHA-512" workbookHashValue="EeKIxAtpgFJrzlE2YwIfuB9g4cxCNo8n+do9VXj1QY6SGNbXZncnXn2R4tr7DJfIOvn7AacDQsIAsxEgHVAQqw==" workbookSaltValue="NYn0YTyhKqwu+7CPBMbAqw==" workbookSpinCount="100000" lockStructure="1"/>
  <bookViews>
    <workbookView xWindow="2565" yWindow="1800" windowWidth="28710" windowHeight="17835" xr2:uid="{00000000-000D-0000-FFFF-FFFF00000000}"/>
  </bookViews>
  <sheets>
    <sheet name="Calculator" sheetId="5" r:id="rId1"/>
    <sheet name="Lists" sheetId="4" state="hidden" r:id="rId2"/>
    <sheet name="Medical Benefits" sheetId="1" state="hidden" r:id="rId3"/>
    <sheet name="Supplemental Life" sheetId="9" state="hidden" r:id="rId4"/>
    <sheet name="Dependent Life" sheetId="11" state="hidden" r:id="rId5"/>
    <sheet name="AD&amp;D" sheetId="6" state="hidden" r:id="rId6"/>
    <sheet name="Supplemental Disability" sheetId="12" state="hidden" r:id="rId7"/>
    <sheet name="Legal" sheetId="13" state="hidden" r:id="rId8"/>
    <sheet name="Sheet 1" sheetId="8" state="hidden" r:id="rId9"/>
  </sheets>
  <definedNames>
    <definedName name="_xlnm._FilterDatabase" localSheetId="2" hidden="1">'Medical Benefits'!$A$1:$H$1</definedName>
    <definedName name="_xlnm._FilterDatabase" localSheetId="8" hidden="1">'Sheet 1'!$B$1:$O$62</definedName>
    <definedName name="ADD">Lists!$A$48:$A$51</definedName>
    <definedName name="ADD_AMT">Lists!$A$54:$A$71</definedName>
    <definedName name="AgeGroup">Lists!$A$29:$A$40</definedName>
    <definedName name="Bas_Lif">Lists!$A$101:$A$103</definedName>
    <definedName name="child_lif">Lists!$A$105:$A$107</definedName>
    <definedName name="Coverage">Lists!$A$22:$A$26</definedName>
    <definedName name="Dental">Lists!$A$11:$A$14</definedName>
    <definedName name="Dep_Life">Lists!$A$82:$A$83</definedName>
    <definedName name="DLSDP_AMT">Lists!$A$110:$A$130</definedName>
    <definedName name="Legal">Lists!$A$87:$A$91</definedName>
    <definedName name="LifeCoverage">Lists!$A$43:$A$45</definedName>
    <definedName name="Medical">Lists!$A$2:$A$10</definedName>
    <definedName name="Mult">Lists!$A$94:$A$99</definedName>
    <definedName name="_xlnm.Print_Area" localSheetId="0">Calculator!$A$1:$F$99</definedName>
    <definedName name="_xlnm.Print_Titles" localSheetId="0">Calculator!$1:$1</definedName>
    <definedName name="Vision">Lists!$A$15:$A$18</definedName>
    <definedName name="wait">Lists!$A$74:$A$78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5" l="1"/>
  <c r="E49" i="5"/>
  <c r="C47" i="5"/>
  <c r="A38" i="8"/>
  <c r="A39" i="8"/>
  <c r="A40" i="8"/>
  <c r="A41" i="8"/>
  <c r="A42" i="8"/>
  <c r="A43" i="8"/>
  <c r="A44" i="8"/>
  <c r="A45" i="8"/>
  <c r="A46" i="8"/>
  <c r="A47" i="8"/>
  <c r="A48" i="8"/>
  <c r="A49" i="8"/>
  <c r="A50" i="8"/>
  <c r="A51" i="8"/>
  <c r="A52" i="8"/>
  <c r="A53" i="8"/>
  <c r="A54" i="8"/>
  <c r="A55" i="8"/>
  <c r="A56" i="8"/>
  <c r="A57" i="8"/>
  <c r="A58" i="8"/>
  <c r="A59" i="8"/>
  <c r="A60" i="8"/>
  <c r="A61" i="8"/>
  <c r="A62" i="8"/>
  <c r="C21" i="5" l="1"/>
  <c r="B13" i="11" s="1"/>
  <c r="N17" i="5"/>
  <c r="B22" i="5" l="1"/>
  <c r="C22" i="5" s="1"/>
  <c r="N22" i="5" l="1"/>
  <c r="A9" i="1" l="1"/>
  <c r="A8" i="1"/>
  <c r="A7" i="1"/>
  <c r="A6" i="1"/>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F98" i="5" l="1"/>
  <c r="B20" i="5" l="1"/>
  <c r="C20" i="5" s="1"/>
  <c r="B4" i="11" s="1"/>
  <c r="B5" i="11" s="1"/>
  <c r="N20" i="5"/>
  <c r="C23" i="5"/>
  <c r="N26" i="5"/>
  <c r="B25" i="5"/>
  <c r="C41" i="5" s="1"/>
  <c r="B24" i="5"/>
  <c r="C5" i="12" s="1"/>
  <c r="B23" i="5"/>
  <c r="B21" i="5"/>
  <c r="N25" i="5"/>
  <c r="N24" i="5"/>
  <c r="N23" i="5"/>
  <c r="N21" i="5"/>
  <c r="B19" i="5"/>
  <c r="N19" i="5"/>
  <c r="B18" i="5"/>
  <c r="B15" i="11" s="1"/>
  <c r="B16" i="11" s="1"/>
  <c r="N18" i="5"/>
  <c r="C3" i="12"/>
  <c r="F10" i="12" s="1"/>
  <c r="B14" i="5"/>
  <c r="B16" i="5"/>
  <c r="B10" i="5"/>
  <c r="B12" i="5"/>
  <c r="B6" i="5"/>
  <c r="B8" i="5"/>
  <c r="N14" i="5"/>
  <c r="N16" i="5"/>
  <c r="N12" i="5"/>
  <c r="N10" i="5"/>
  <c r="N8" i="5"/>
  <c r="N6" i="5"/>
  <c r="C50" i="5"/>
  <c r="B81" i="5"/>
  <c r="B82" i="5"/>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 r="B25" i="11"/>
  <c r="C38" i="5" s="1"/>
  <c r="B14" i="11"/>
  <c r="C3" i="9"/>
  <c r="F15" i="9" s="1"/>
  <c r="F16" i="9" s="1"/>
  <c r="F17" i="9" s="1"/>
  <c r="A2" i="8"/>
  <c r="F3" i="1" s="1"/>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2" i="6"/>
  <c r="B73" i="5"/>
  <c r="B80" i="5"/>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5" i="1"/>
  <c r="A4" i="1"/>
  <c r="A3" i="1"/>
  <c r="A2" i="1"/>
  <c r="F9" i="1" l="1"/>
  <c r="F7" i="1"/>
  <c r="E9" i="1"/>
  <c r="F6" i="1"/>
  <c r="E6" i="1"/>
  <c r="F8" i="1"/>
  <c r="E8" i="1"/>
  <c r="E7" i="1"/>
  <c r="E2" i="1"/>
  <c r="E3" i="1"/>
  <c r="B48" i="5"/>
  <c r="D48" i="5" s="1"/>
  <c r="C19" i="5"/>
  <c r="C32" i="5"/>
  <c r="E15" i="9"/>
  <c r="E16" i="9" s="1"/>
  <c r="E17" i="9" s="1"/>
  <c r="E4" i="1"/>
  <c r="E40" i="1"/>
  <c r="F2" i="1"/>
  <c r="E36" i="1"/>
  <c r="F23" i="1"/>
  <c r="F35" i="1"/>
  <c r="E26" i="1"/>
  <c r="F37" i="1"/>
  <c r="E12" i="1"/>
  <c r="E45" i="1"/>
  <c r="F26" i="1"/>
  <c r="F11" i="1"/>
  <c r="F32" i="1"/>
  <c r="F22" i="1"/>
  <c r="E22" i="1"/>
  <c r="E41" i="1"/>
  <c r="E35" i="1"/>
  <c r="F31" i="1"/>
  <c r="F43" i="1"/>
  <c r="F18" i="1"/>
  <c r="E23" i="1"/>
  <c r="E18" i="1"/>
  <c r="F29" i="1"/>
  <c r="E33" i="1"/>
  <c r="E31" i="1"/>
  <c r="F24" i="1"/>
  <c r="F19" i="1"/>
  <c r="E32" i="1"/>
  <c r="E37" i="1"/>
  <c r="F14" i="1"/>
  <c r="E11" i="1"/>
  <c r="E14" i="1"/>
  <c r="F25" i="1"/>
  <c r="E29" i="1"/>
  <c r="E19" i="1"/>
  <c r="F20" i="1"/>
  <c r="F15" i="1"/>
  <c r="E28" i="1"/>
  <c r="E43" i="1"/>
  <c r="E42" i="1"/>
  <c r="E25" i="1"/>
  <c r="F16" i="1"/>
  <c r="F42" i="1"/>
  <c r="F38" i="1"/>
  <c r="E38" i="1"/>
  <c r="E27" i="1"/>
  <c r="F10" i="1"/>
  <c r="F21" i="1"/>
  <c r="E24" i="1"/>
  <c r="F34" i="1"/>
  <c r="E21" i="1"/>
  <c r="E34" i="1"/>
  <c r="F45" i="1"/>
  <c r="F13" i="1"/>
  <c r="E5" i="1"/>
  <c r="F40" i="1"/>
  <c r="F4" i="1"/>
  <c r="E15" i="1"/>
  <c r="E16" i="1"/>
  <c r="E10" i="1"/>
  <c r="E39" i="1"/>
  <c r="F17" i="1"/>
  <c r="E17" i="1"/>
  <c r="F44" i="1"/>
  <c r="F12" i="1"/>
  <c r="E20" i="1"/>
  <c r="F30" i="1"/>
  <c r="E13" i="1"/>
  <c r="E30" i="1"/>
  <c r="F41" i="1"/>
  <c r="F5" i="1"/>
  <c r="F27" i="1"/>
  <c r="F36" i="1"/>
  <c r="F39" i="1"/>
  <c r="E44" i="1"/>
  <c r="F33" i="1"/>
  <c r="F28" i="1"/>
  <c r="C31" i="5"/>
  <c r="D15" i="9"/>
  <c r="D16" i="9" s="1"/>
  <c r="D17" i="9" s="1"/>
  <c r="B32" i="5"/>
  <c r="C4" i="9"/>
  <c r="C5" i="9" s="1"/>
  <c r="D18" i="9" s="1"/>
  <c r="C33" i="5"/>
  <c r="C39" i="5"/>
  <c r="B6" i="11"/>
  <c r="B7" i="11" s="1"/>
  <c r="B8" i="11" s="1"/>
  <c r="C36" i="5" s="1"/>
  <c r="D47" i="5"/>
  <c r="C10" i="12"/>
  <c r="E10" i="12"/>
  <c r="B31" i="5"/>
  <c r="B33" i="5"/>
  <c r="C4" i="12"/>
  <c r="B34" i="5"/>
  <c r="B75" i="5" s="1"/>
  <c r="C15" i="9"/>
  <c r="C16" i="9" s="1"/>
  <c r="C17" i="9" s="1"/>
  <c r="D10" i="12"/>
  <c r="B15" i="9"/>
  <c r="B16" i="9" s="1"/>
  <c r="B17" i="9" s="1"/>
  <c r="B49" i="5" l="1"/>
  <c r="B50" i="5" s="1"/>
  <c r="D50" i="5" s="1"/>
  <c r="B17" i="11"/>
  <c r="C37" i="5" s="1"/>
  <c r="D19" i="9"/>
  <c r="D20" i="9" s="1"/>
  <c r="E18" i="9"/>
  <c r="E19" i="9" s="1"/>
  <c r="C18" i="9"/>
  <c r="C19" i="9" s="1"/>
  <c r="C20" i="9" s="1"/>
  <c r="F18" i="9"/>
  <c r="F19" i="9" s="1"/>
  <c r="F22" i="9" s="1"/>
  <c r="B10" i="11"/>
  <c r="B9" i="11"/>
  <c r="B18" i="9"/>
  <c r="F11" i="12"/>
  <c r="F12" i="12" s="1"/>
  <c r="F13" i="12" s="1"/>
  <c r="C11" i="12"/>
  <c r="C12" i="12" s="1"/>
  <c r="B22" i="12"/>
  <c r="C40" i="5" s="1"/>
  <c r="D11" i="12"/>
  <c r="D12" i="12" s="1"/>
  <c r="E11" i="12"/>
  <c r="E12" i="12" s="1"/>
  <c r="B74" i="5"/>
  <c r="B42" i="5"/>
  <c r="B19" i="9"/>
  <c r="D49" i="5" l="1"/>
  <c r="B18" i="11"/>
  <c r="B76" i="5"/>
  <c r="B77" i="5" s="1"/>
  <c r="B19" i="11"/>
  <c r="E20" i="9"/>
  <c r="C35" i="5"/>
  <c r="B37" i="9"/>
  <c r="B33" i="9"/>
  <c r="D22" i="9"/>
  <c r="D21" i="9"/>
  <c r="E21" i="9"/>
  <c r="F14" i="12"/>
  <c r="E22" i="9"/>
  <c r="F20" i="9"/>
  <c r="F21" i="9"/>
  <c r="D13" i="12"/>
  <c r="D14" i="12"/>
  <c r="C22" i="9"/>
  <c r="C13" i="12"/>
  <c r="C14" i="12"/>
  <c r="E13" i="12"/>
  <c r="E14" i="12"/>
  <c r="C21" i="9"/>
  <c r="B21" i="9"/>
  <c r="B20" i="9"/>
  <c r="B22" i="9"/>
  <c r="C42" i="5" l="1"/>
</calcChain>
</file>

<file path=xl/sharedStrings.xml><?xml version="1.0" encoding="utf-8"?>
<sst xmlns="http://schemas.openxmlformats.org/spreadsheetml/2006/main" count="1038" uniqueCount="320">
  <si>
    <t>Anthem Blue Cross EPO</t>
  </si>
  <si>
    <t>Anthem Blue Cross Plus</t>
  </si>
  <si>
    <t>Anthem Blue Cross PPO</t>
  </si>
  <si>
    <t>Anthem Blue Cross HDHP</t>
  </si>
  <si>
    <t>Anthem Blue Cross Core Value</t>
  </si>
  <si>
    <t>Delta Dental PPO (nationwide)</t>
  </si>
  <si>
    <t>Premium paid by LLNS</t>
  </si>
  <si>
    <t>Vision Plan</t>
  </si>
  <si>
    <t>Vision Plan Plus (buy-up option)</t>
  </si>
  <si>
    <t>Plan</t>
  </si>
  <si>
    <t>Type</t>
  </si>
  <si>
    <t>Employee Only</t>
  </si>
  <si>
    <t>Employee &amp; Adult</t>
  </si>
  <si>
    <t>Employee &amp; Child(ren)</t>
  </si>
  <si>
    <t>Employee &amp; Family</t>
  </si>
  <si>
    <t>Delta Care USA DMO (California residents only)</t>
  </si>
  <si>
    <t>&lt;25</t>
  </si>
  <si>
    <t>25 – 29</t>
  </si>
  <si>
    <t>30 – 34</t>
  </si>
  <si>
    <t>35 – 39</t>
  </si>
  <si>
    <t>40 – 44</t>
  </si>
  <si>
    <t>45 – 49</t>
  </si>
  <si>
    <t>50 – 54</t>
  </si>
  <si>
    <t>55 – 59</t>
  </si>
  <si>
    <t>60 – 64</t>
  </si>
  <si>
    <t>65 – 69</t>
  </si>
  <si>
    <t>70+</t>
  </si>
  <si>
    <t>PLANS</t>
  </si>
  <si>
    <t>Select your Medical Plan</t>
  </si>
  <si>
    <t>Who does your medical plan cover?</t>
  </si>
  <si>
    <t>Select your Dental Plan</t>
  </si>
  <si>
    <t>Who does your dental plan cover?</t>
  </si>
  <si>
    <t>Medical Insurance</t>
  </si>
  <si>
    <t>Dental Insurance</t>
  </si>
  <si>
    <t>Vision Insurance</t>
  </si>
  <si>
    <t>Total Cost</t>
  </si>
  <si>
    <t>Coverage</t>
  </si>
  <si>
    <t>Select your Vision Plan</t>
  </si>
  <si>
    <t>Who does your vision plan cover?</t>
  </si>
  <si>
    <t>Employer Costs</t>
  </si>
  <si>
    <t>Employee Costs</t>
  </si>
  <si>
    <t>Vlookup</t>
  </si>
  <si>
    <t>Vacation Accrual (3 weeks/year)</t>
  </si>
  <si>
    <t>Sick Leave Accrual (12 sick days/year)</t>
  </si>
  <si>
    <t>401K</t>
  </si>
  <si>
    <t>Employee Contribution</t>
  </si>
  <si>
    <t>Employer Match (100% on first 6%)</t>
  </si>
  <si>
    <t>Total Contribution</t>
  </si>
  <si>
    <t>Contribution %</t>
  </si>
  <si>
    <t>rate per $1K</t>
  </si>
  <si>
    <t>Age</t>
  </si>
  <si>
    <t>Employee Supplemental Life</t>
  </si>
  <si>
    <t>Dependent Basic Life</t>
  </si>
  <si>
    <t>Dependent Expanded Life</t>
  </si>
  <si>
    <t>PRINCIPAL SUM</t>
  </si>
  <si>
    <t>EMPLOYEE ONLY</t>
  </si>
  <si>
    <t>FAMILY PLAN</t>
  </si>
  <si>
    <t>MODIFIED FAMILY PLAN</t>
  </si>
  <si>
    <t>Amount</t>
  </si>
  <si>
    <t>Rate</t>
  </si>
  <si>
    <t>Supplemental Disability Insurance</t>
  </si>
  <si>
    <t>Compensation</t>
  </si>
  <si>
    <t>Health Insurance (medical, dental, vision)</t>
  </si>
  <si>
    <t>Retirement (401K)</t>
  </si>
  <si>
    <t>Total Compensation/Benefits Package</t>
  </si>
  <si>
    <t>Age Group</t>
  </si>
  <si>
    <t>LifeIns Coverage</t>
  </si>
  <si>
    <t>Accidental Death and Dismemberment Ins.</t>
  </si>
  <si>
    <t>Accidental Death and Dismemberment</t>
  </si>
  <si>
    <t>Additional Insurance (select your age group)</t>
  </si>
  <si>
    <t>Select Coverage</t>
  </si>
  <si>
    <t>Family Plan</t>
  </si>
  <si>
    <t>Modified Family Plan</t>
  </si>
  <si>
    <t>ADD</t>
  </si>
  <si>
    <t>ADD_AMT</t>
  </si>
  <si>
    <t>Supplemental Disability</t>
  </si>
  <si>
    <t>Waiting Period</t>
  </si>
  <si>
    <t>PlanLookup</t>
  </si>
  <si>
    <t>KSRN1</t>
  </si>
  <si>
    <t>KSRN2</t>
  </si>
  <si>
    <t>KSRN3</t>
  </si>
  <si>
    <t>KSRN4</t>
  </si>
  <si>
    <t>ABCPLU1</t>
  </si>
  <si>
    <t>ABCPLU2</t>
  </si>
  <si>
    <t>ABCPLU3</t>
  </si>
  <si>
    <t>ABCPLU4</t>
  </si>
  <si>
    <t>ABCCOR1</t>
  </si>
  <si>
    <t>ABCCOR2</t>
  </si>
  <si>
    <t>ABCCOR3</t>
  </si>
  <si>
    <t>ABCCOR4</t>
  </si>
  <si>
    <t>ABCEPO1</t>
  </si>
  <si>
    <t>ABCEPO2</t>
  </si>
  <si>
    <t>ABCEPO4</t>
  </si>
  <si>
    <t>ABCEPO3</t>
  </si>
  <si>
    <t>ABCPPO2</t>
  </si>
  <si>
    <t>ABCPPO3</t>
  </si>
  <si>
    <t>ABCPPO4</t>
  </si>
  <si>
    <t>ABCPPO1</t>
  </si>
  <si>
    <t>HDHP1</t>
  </si>
  <si>
    <t>HDHP2</t>
  </si>
  <si>
    <t>HDHP4</t>
  </si>
  <si>
    <t>HDHP3</t>
  </si>
  <si>
    <t>VSPPLU1</t>
  </si>
  <si>
    <t>VSPPLU2</t>
  </si>
  <si>
    <t>VSPPLU3</t>
  </si>
  <si>
    <t>VSPPLU4</t>
  </si>
  <si>
    <t>VISN B1</t>
  </si>
  <si>
    <t>VISN B2</t>
  </si>
  <si>
    <t>VISN B4</t>
  </si>
  <si>
    <t>VISN B3</t>
  </si>
  <si>
    <t>DLTA B1</t>
  </si>
  <si>
    <t>DLTA B2</t>
  </si>
  <si>
    <t>DLTA B4</t>
  </si>
  <si>
    <t>DLTA B3</t>
  </si>
  <si>
    <t>BENEFIT_PLAN</t>
  </si>
  <si>
    <t>COVRG_CD</t>
  </si>
  <si>
    <t>BENEFIT_PROGRAM</t>
  </si>
  <si>
    <t>EFFDT</t>
  </si>
  <si>
    <t>PLAN_TYPE</t>
  </si>
  <si>
    <t>OPTION_ID</t>
  </si>
  <si>
    <t>COST_ID</t>
  </si>
  <si>
    <t>COST_TYPE</t>
  </si>
  <si>
    <t>ERNCD</t>
  </si>
  <si>
    <t>RATE_TYPE</t>
  </si>
  <si>
    <t>RATE_TBL_ID</t>
  </si>
  <si>
    <t>CALC_RULES_ID</t>
  </si>
  <si>
    <t>BN_EMPL_RATE</t>
  </si>
  <si>
    <t>BN_EMPLR_RATE</t>
  </si>
  <si>
    <t>KSRN</t>
  </si>
  <si>
    <t>1</t>
  </si>
  <si>
    <t>10</t>
  </si>
  <si>
    <t>P</t>
  </si>
  <si>
    <t>2</t>
  </si>
  <si>
    <t>KN1</t>
  </si>
  <si>
    <t>PSX</t>
  </si>
  <si>
    <t>KN2</t>
  </si>
  <si>
    <t>3</t>
  </si>
  <si>
    <t>KN3</t>
  </si>
  <si>
    <t>4</t>
  </si>
  <si>
    <t>KN4</t>
  </si>
  <si>
    <t>ABCPLU</t>
  </si>
  <si>
    <t>PLU1</t>
  </si>
  <si>
    <t>PLU2</t>
  </si>
  <si>
    <t>PLU3</t>
  </si>
  <si>
    <t>PLU4</t>
  </si>
  <si>
    <t>ABCPPO</t>
  </si>
  <si>
    <t>PPO2</t>
  </si>
  <si>
    <t>PPO3</t>
  </si>
  <si>
    <t>PPO4</t>
  </si>
  <si>
    <t>ABCCOR</t>
  </si>
  <si>
    <t>COR1</t>
  </si>
  <si>
    <t>COR2</t>
  </si>
  <si>
    <t>COR3</t>
  </si>
  <si>
    <t>COR4</t>
  </si>
  <si>
    <t>KSRS</t>
  </si>
  <si>
    <t>KS1</t>
  </si>
  <si>
    <t>KS2</t>
  </si>
  <si>
    <t>KS3</t>
  </si>
  <si>
    <t>KS4</t>
  </si>
  <si>
    <t>ABCEPO</t>
  </si>
  <si>
    <t>EPO1</t>
  </si>
  <si>
    <t>EPO2</t>
  </si>
  <si>
    <t>EPO4</t>
  </si>
  <si>
    <t>EPO3</t>
  </si>
  <si>
    <t>PPO1</t>
  </si>
  <si>
    <t>HDHP</t>
  </si>
  <si>
    <t>HD1</t>
  </si>
  <si>
    <t>HD2</t>
  </si>
  <si>
    <t>HD4</t>
  </si>
  <si>
    <t>HD3</t>
  </si>
  <si>
    <t>LGLARA</t>
  </si>
  <si>
    <t>1Z</t>
  </si>
  <si>
    <t>LGA1</t>
  </si>
  <si>
    <t>LGA2</t>
  </si>
  <si>
    <t>LGA3</t>
  </si>
  <si>
    <t>LGA4</t>
  </si>
  <si>
    <t>DEPB</t>
  </si>
  <si>
    <t>25</t>
  </si>
  <si>
    <t>VSPPLU</t>
  </si>
  <si>
    <t>FUL</t>
  </si>
  <si>
    <t>14</t>
  </si>
  <si>
    <t>VP1</t>
  </si>
  <si>
    <t>VP2</t>
  </si>
  <si>
    <t>VP3</t>
  </si>
  <si>
    <t>VP4</t>
  </si>
  <si>
    <t>DLTA B</t>
  </si>
  <si>
    <t>11</t>
  </si>
  <si>
    <t>DL1</t>
  </si>
  <si>
    <t>DL2</t>
  </si>
  <si>
    <t>DL4</t>
  </si>
  <si>
    <t>DL3</t>
  </si>
  <si>
    <t>VISN B</t>
  </si>
  <si>
    <t>VI1</t>
  </si>
  <si>
    <t>VI2</t>
  </si>
  <si>
    <t>V14</t>
  </si>
  <si>
    <t>VI3</t>
  </si>
  <si>
    <t>vlookup</t>
  </si>
  <si>
    <t>Select Age Group</t>
  </si>
  <si>
    <t>Dep_Life</t>
  </si>
  <si>
    <t>$0 or $5,000</t>
  </si>
  <si>
    <t>SUPPLEMENTAL LIFE CALCULATOR</t>
  </si>
  <si>
    <t>Monthly Rate</t>
  </si>
  <si>
    <t>Input your annual salary (rounded up to multiple of $1000)*</t>
  </si>
  <si>
    <t>Input your age</t>
  </si>
  <si>
    <t>* If you only want $20,000 coverage, input $20,000 for your salary; multiple factor is 1</t>
  </si>
  <si>
    <t>Salary Multiple Factor</t>
  </si>
  <si>
    <t>Annual Salary</t>
  </si>
  <si>
    <t>Coverage Amount</t>
  </si>
  <si>
    <t>Divide by 1,000</t>
  </si>
  <si>
    <t>Monthly Cost</t>
  </si>
  <si>
    <t>Bi-weekly paycheck deduction (1/2 monthly cost)</t>
  </si>
  <si>
    <t>Weekly paycheck deduction (1/4 monthly cost)</t>
  </si>
  <si>
    <t>Note:  Multiples of 4 or 5 times salary requires a Statement of Health</t>
  </si>
  <si>
    <t xml:space="preserve">The calculations in this spreadsheet are only estimates of your per pay period deduction amount.  If there is a </t>
  </si>
  <si>
    <t>difference between the above calculations and Payroll, Payroll's calculations are deemed correct.</t>
  </si>
  <si>
    <t>Rate per $1K</t>
  </si>
  <si>
    <t>Annual check amount</t>
  </si>
  <si>
    <t>DEPENDENT  LIFE CALCULATOR</t>
  </si>
  <si>
    <t>Coverage amount</t>
  </si>
  <si>
    <t>* Multiple factor must be the same as Supplemental Life</t>
  </si>
  <si>
    <t>** If you are enrolling in family coverage for spouse/partner and/or children, add $0.38 to the monthly cost</t>
  </si>
  <si>
    <t>Employee Supplemental Life (up to 5x salary)</t>
  </si>
  <si>
    <t>SUPPLEMENTAL DISABILITY CALCULATOR</t>
  </si>
  <si>
    <t>Waiting Period (days)</t>
  </si>
  <si>
    <t>Input your annual salary (up to maximum $257,142)</t>
  </si>
  <si>
    <t xml:space="preserve">Monthly salary </t>
  </si>
  <si>
    <t>Monthly rate</t>
  </si>
  <si>
    <t>Monthly cost</t>
  </si>
  <si>
    <t>Bi-weekly check deduction (1/2 monthly cost)</t>
  </si>
  <si>
    <t>Weekly check deduction (1/4 monthly cost)</t>
  </si>
  <si>
    <t>Note:  The premium amounts calculated in this spreadsheet may be a few cents off with the premium</t>
  </si>
  <si>
    <t xml:space="preserve">            amount shown on your paycheck stub due to rounding.  Your paycheck deduction is the official</t>
  </si>
  <si>
    <t xml:space="preserve">            amount.</t>
  </si>
  <si>
    <t>Children only (monthly cost)**</t>
  </si>
  <si>
    <t>Monthly Amount</t>
  </si>
  <si>
    <t>Legal Ins</t>
  </si>
  <si>
    <t>Legal Insurance</t>
  </si>
  <si>
    <t>Employee &amp; Spouse/Domestic Partner</t>
  </si>
  <si>
    <t>Basic Life (1 x Salary up to $400K)</t>
  </si>
  <si>
    <t>LLNL Total Compensation Estimator</t>
  </si>
  <si>
    <t>Waive Coverage</t>
  </si>
  <si>
    <t>Employee Monthly Cost</t>
  </si>
  <si>
    <t>Employer Monthly Cost</t>
  </si>
  <si>
    <t>401K Benefit Contribution Percentage</t>
  </si>
  <si>
    <t>Employer Contribution</t>
  </si>
  <si>
    <t>Annual Benefits  Costs</t>
  </si>
  <si>
    <t>Value of Other Benefits</t>
  </si>
  <si>
    <t>Paid Holidays (up to 12 days/year)</t>
  </si>
  <si>
    <t>Employer Service Based Contribution (3.5%)</t>
  </si>
  <si>
    <t>Select Multiplier</t>
  </si>
  <si>
    <t>Select Amount</t>
  </si>
  <si>
    <t xml:space="preserve">This estimator is a tool you can use to help project the benefits you could receive if you were hired as an employee at LLNL; there is no guarantee that this estimation is accurate, or that you will be hired by LLNL. The calculations above apply to employees who are eligible for the full benefits package (appointed at 50% or more for a year or longer or 1000 hours in a 12-month period.) The approximate value of your total compensation is calculated based on the benefit contributions for the current calendar year. The benefits described may be amended or terminated at any time. If you are being considered for a position covered by a collective bargaining agreement, check that agreement for details about your benefits. </t>
  </si>
  <si>
    <t>Estimated annual salary (ex: 86835.00)</t>
  </si>
  <si>
    <t>* Max employer match - 6%</t>
  </si>
  <si>
    <t>Select Medical Plan</t>
  </si>
  <si>
    <t>Select Dental Plan</t>
  </si>
  <si>
    <t>Select Vision Plan</t>
  </si>
  <si>
    <t>Select Waiting Period (days)</t>
  </si>
  <si>
    <t>The rewards of your LLNL employment go beyond your salary. LLNL employees enjoy a full range of benefits, services and programs. To estimate the approximate value of your total compensation, should you become an LLNL employee, select your medical, dental, and vision plans and life insurance levels. Enter your annual salary and make your selections (from the drop-down lists). The calculations are automatic.
To learn more about a particular benefit plan, click any of the blue links below.</t>
  </si>
  <si>
    <t>Total Annual Compensation (Benefits and Salary)</t>
  </si>
  <si>
    <t>* Does not include tax on imputed income</t>
  </si>
  <si>
    <t xml:space="preserve">Print Date: </t>
  </si>
  <si>
    <r>
      <t xml:space="preserve">For questions regarding this Estimator, please contact LLNL Benefits @ 925-422-9955  or email Benefits Staff @ </t>
    </r>
    <r>
      <rPr>
        <b/>
        <u/>
        <sz val="11"/>
        <color rgb="FF0070C0"/>
        <rFont val="Calibri"/>
        <family val="2"/>
        <scheme val="minor"/>
      </rPr>
      <t>llnl-benefits@llnl.gov</t>
    </r>
  </si>
  <si>
    <t>password: compcalc*10</t>
  </si>
  <si>
    <t>Kaiser Permanente HDHP</t>
  </si>
  <si>
    <t>Kaiser Permanente HMO</t>
  </si>
  <si>
    <t>KHDHPN</t>
  </si>
  <si>
    <t>KHN1</t>
  </si>
  <si>
    <t>KHN2</t>
  </si>
  <si>
    <t>KHN3</t>
  </si>
  <si>
    <t>KHN4</t>
  </si>
  <si>
    <t>KHDHPS</t>
  </si>
  <si>
    <t>KHS1</t>
  </si>
  <si>
    <t>KHS2</t>
  </si>
  <si>
    <t>KHS3</t>
  </si>
  <si>
    <t>KHS4</t>
  </si>
  <si>
    <t>KHDHPN1</t>
  </si>
  <si>
    <t>KHDHPN2</t>
  </si>
  <si>
    <t>KHDHPN3</t>
  </si>
  <si>
    <t>KHDHPN4</t>
  </si>
  <si>
    <t>SELECT A.BENEFIT_PLAN, A.COVRG_CD, B.*, C.BN_EMPL_RATE, C.BN_EMPLR_RATE</t>
  </si>
  <si>
    <t>FROM PS_BEN_DEFN_OPTN a, PS_BEN_DEFN_COST b,  PS_BN_RATE_DATA C</t>
  </si>
  <si>
    <t>and a.BENEFIT_PROGRAM = b.BENEFIT_PROGRAM</t>
  </si>
  <si>
    <t>and a.EFFDT = b.EFFDT</t>
  </si>
  <si>
    <t>and a.PLAN_TYPE = b.PLAN_TYPE</t>
  </si>
  <si>
    <t>and a.OPTION_ID = b.OPTION_ID</t>
  </si>
  <si>
    <t>AND B.RATE_TBL_ID = C.RATE_TBL_ID</t>
  </si>
  <si>
    <t>AND B.EFFDT = C.EFFDT</t>
  </si>
  <si>
    <t>SQL</t>
  </si>
  <si>
    <t>Dependent Spouse/Domestic Partner Life</t>
  </si>
  <si>
    <t>Child Life</t>
  </si>
  <si>
    <t>$0 or $10,000</t>
  </si>
  <si>
    <t>Spouse/Domestic Partner</t>
  </si>
  <si>
    <t/>
  </si>
  <si>
    <t>PMI B</t>
  </si>
  <si>
    <t>PM1</t>
  </si>
  <si>
    <t>PM2</t>
  </si>
  <si>
    <t>PM3</t>
  </si>
  <si>
    <t>PM4</t>
  </si>
  <si>
    <t>PMI B1</t>
  </si>
  <si>
    <t>PMI B2</t>
  </si>
  <si>
    <t>PMI B3</t>
  </si>
  <si>
    <t>PMI B4</t>
  </si>
  <si>
    <t>AND C.EFFDT = (SELECT MAX(X.EFFDT) from PS_BN_RATE_DATA x</t>
  </si>
  <si>
    <t>where c.rate_tbl_id = x.rate_tbl_id)</t>
  </si>
  <si>
    <t>Not using 25?</t>
  </si>
  <si>
    <t>Basic Dependent Life</t>
  </si>
  <si>
    <t>Dependent Life Spouse/Domestic Partner</t>
  </si>
  <si>
    <t>Input the coverage amount*</t>
  </si>
  <si>
    <t>* Coverage is in $10,000 increments from $10,000 t0 $200,000</t>
  </si>
  <si>
    <t>DLSDP_AMT</t>
  </si>
  <si>
    <t>and a.plan_type = '10'</t>
  </si>
  <si>
    <t>and a.BENEFIT_PROGRAM = 'FUL'</t>
  </si>
  <si>
    <t>and a.plan_type in ('11','14','1Z','25')</t>
  </si>
  <si>
    <t>Order by 5,1,2</t>
  </si>
  <si>
    <t>UNION</t>
  </si>
  <si>
    <t>--order by 1,2</t>
  </si>
  <si>
    <t>--Dental costs</t>
  </si>
  <si>
    <t>WHERE a.EFFDT = '27-DEC-2020'</t>
  </si>
  <si>
    <t>2021 Rates - revised 12/31/20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</si>
</sst>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0.000_);[Red]\(#,##0.000\)"/>
    <numFmt numFmtId="168" formatCode="mm/dd/yyyy\ "/>
    <numFmt numFmtId="169" formatCode="0.000"/>
    <numFmt numFmtId="170" formatCode="&quot;$&quot;#,##0.000_);\(&quot;$&quot;#,##0.000\)"/>
    <numFmt numFmtId="171" formatCode="0_);\(0\)"/>
    <numFmt numFmtId="172" formatCode="&quot;$&quot;#,##0.0000"/>
    <numFmt numFmtId="173" formatCode="_(* #,##0.00000_);_(* \(#,##0.00000\);_(* &quot;-&quot;??_);_(@_)"/>
  </numFmts>
  <fonts count="26" x14ac:knownFonts="1">
    <font>
      <sz val="11"/>
      <color theme="1"/>
      <name val="Calibri"/>
      <family val="2"/>
      <scheme val="minor"/>
    </font>
    <font>
      <sz val="11"/>
      <color theme="1"/>
      <name val="Calibri"/>
      <family val="2"/>
      <scheme val="minor"/>
    </font>
    <font>
      <sz val="13"/>
      <color theme="1"/>
      <name val="Arial"/>
      <family val="2"/>
    </font>
    <font>
      <sz val="10"/>
      <color indexed="8"/>
      <name val="MS Shell Dlg 2"/>
      <family val="2"/>
      <charset val="1"/>
    </font>
    <font>
      <sz val="10"/>
      <name val="Arial"/>
      <family val="2"/>
    </font>
    <font>
      <b/>
      <sz val="16"/>
      <name val="Times New Roman"/>
      <family val="1"/>
    </font>
    <font>
      <sz val="10"/>
      <name val="Times New Roman"/>
      <family val="1"/>
    </font>
    <font>
      <b/>
      <sz val="10"/>
      <name val="Times New Roman"/>
      <family val="1"/>
    </font>
    <font>
      <b/>
      <sz val="20"/>
      <name val="Times New Roman"/>
      <family val="1"/>
    </font>
    <font>
      <b/>
      <sz val="12"/>
      <name val="Times New Roman"/>
      <family val="1"/>
    </font>
    <font>
      <b/>
      <sz val="14"/>
      <name val="Times New Roman"/>
      <family val="1"/>
    </font>
    <font>
      <sz val="14"/>
      <name val="Times New Roman"/>
      <family val="1"/>
    </font>
    <font>
      <sz val="10"/>
      <color theme="1"/>
      <name val="Times New Roman"/>
      <family val="1"/>
    </font>
    <font>
      <u/>
      <sz val="11"/>
      <color theme="10"/>
      <name val="Calibri"/>
      <family val="2"/>
      <scheme val="minor"/>
    </font>
    <font>
      <b/>
      <u/>
      <sz val="11"/>
      <color rgb="FF0070C0"/>
      <name val="Calibri"/>
      <family val="2"/>
      <scheme val="minor"/>
    </font>
    <font>
      <sz val="22"/>
      <color theme="1"/>
      <name val="Calibri"/>
      <family val="2"/>
      <scheme val="minor"/>
    </font>
    <font>
      <sz val="11"/>
      <color theme="1"/>
      <name val="Calibri"/>
      <family val="2"/>
      <scheme val="minor"/>
    </font>
    <font>
      <sz val="11"/>
      <name val="Calibri"/>
      <family val="2"/>
      <scheme val="minor"/>
    </font>
    <font>
      <sz val="11"/>
      <color theme="0"/>
      <name val="Calibri"/>
      <family val="2"/>
      <scheme val="minor"/>
    </font>
    <font>
      <sz val="11"/>
      <color rgb="FFFF0000"/>
      <name val="Calibri"/>
      <family val="2"/>
      <scheme val="minor"/>
    </font>
    <font>
      <b/>
      <u/>
      <sz val="11"/>
      <color theme="10"/>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11"/>
      <color theme="0" tint="-0.499984740745262"/>
      <name val="Calibri"/>
      <family val="2"/>
      <scheme val="minor"/>
    </font>
    <font>
      <strike/>
      <sz val="11"/>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indexed="22"/>
        <bgColor indexed="9"/>
      </patternFill>
    </fill>
    <fill>
      <patternFill patternType="solid">
        <fgColor indexed="13"/>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 fillId="0" borderId="0"/>
    <xf numFmtId="0" fontId="4" fillId="0" borderId="0"/>
    <xf numFmtId="44" fontId="4" fillId="0" borderId="0" applyFont="0" applyFill="0" applyBorder="0" applyAlignment="0" applyProtection="0"/>
    <xf numFmtId="0" fontId="13" fillId="0" borderId="0" applyNumberFormat="0" applyFill="0" applyBorder="0" applyAlignment="0" applyProtection="0"/>
  </cellStyleXfs>
  <cellXfs count="161">
    <xf numFmtId="0" fontId="0" fillId="0" borderId="0" xfId="0"/>
    <xf numFmtId="8" fontId="0" fillId="0" borderId="0" xfId="0" applyNumberFormat="1"/>
    <xf numFmtId="0" fontId="0" fillId="0" borderId="0" xfId="0" applyAlignment="1">
      <alignment horizontal="left"/>
    </xf>
    <xf numFmtId="6" fontId="0" fillId="0" borderId="0" xfId="0" applyNumberFormat="1"/>
    <xf numFmtId="6" fontId="0" fillId="0" borderId="0" xfId="0" applyNumberFormat="1" applyAlignment="1">
      <alignment horizontal="left"/>
    </xf>
    <xf numFmtId="0" fontId="0" fillId="0" borderId="0" xfId="0" applyFont="1" applyAlignment="1">
      <alignment vertical="center"/>
    </xf>
    <xf numFmtId="167" fontId="0" fillId="0" borderId="0" xfId="0" applyNumberFormat="1"/>
    <xf numFmtId="0" fontId="3" fillId="0" borderId="0" xfId="4"/>
    <xf numFmtId="0" fontId="3" fillId="6" borderId="0" xfId="4" applyFont="1" applyFill="1"/>
    <xf numFmtId="0" fontId="3" fillId="0" borderId="0" xfId="4" applyFont="1"/>
    <xf numFmtId="168" fontId="3" fillId="0" borderId="0" xfId="4" applyNumberFormat="1"/>
    <xf numFmtId="164" fontId="0" fillId="0" borderId="0" xfId="0" applyNumberFormat="1"/>
    <xf numFmtId="0" fontId="6" fillId="0" borderId="0" xfId="5" applyFont="1" applyBorder="1"/>
    <xf numFmtId="0" fontId="6" fillId="0" borderId="0" xfId="5" applyFont="1"/>
    <xf numFmtId="44" fontId="6" fillId="0" borderId="0" xfId="6" applyFont="1" applyBorder="1"/>
    <xf numFmtId="44" fontId="6" fillId="0" borderId="0" xfId="6" applyFont="1"/>
    <xf numFmtId="0" fontId="6" fillId="0" borderId="0" xfId="5" applyFont="1" applyFill="1" applyBorder="1" applyAlignment="1">
      <alignment horizontal="center"/>
    </xf>
    <xf numFmtId="169" fontId="6" fillId="0" borderId="0" xfId="5" applyNumberFormat="1" applyFont="1" applyFill="1" applyBorder="1" applyAlignment="1">
      <alignment horizontal="right" vertical="top" wrapText="1"/>
    </xf>
    <xf numFmtId="169" fontId="6" fillId="0" borderId="0" xfId="5" applyNumberFormat="1" applyFont="1" applyBorder="1"/>
    <xf numFmtId="0" fontId="4" fillId="0" borderId="0" xfId="5"/>
    <xf numFmtId="0" fontId="6" fillId="0" borderId="8" xfId="5" applyFont="1" applyBorder="1"/>
    <xf numFmtId="0" fontId="6" fillId="0" borderId="0" xfId="5" applyFont="1" applyBorder="1" applyAlignment="1">
      <alignment horizontal="right"/>
    </xf>
    <xf numFmtId="166" fontId="6" fillId="2" borderId="0" xfId="6" applyNumberFormat="1" applyFont="1" applyFill="1" applyBorder="1" applyAlignment="1">
      <alignment horizontal="center"/>
    </xf>
    <xf numFmtId="167" fontId="4" fillId="0" borderId="0" xfId="5" applyNumberFormat="1"/>
    <xf numFmtId="0" fontId="6" fillId="7" borderId="0" xfId="5" applyFont="1" applyFill="1" applyBorder="1" applyAlignment="1">
      <alignment horizontal="center" vertical="top" wrapText="1"/>
    </xf>
    <xf numFmtId="170" fontId="6" fillId="0" borderId="0" xfId="6" applyNumberFormat="1" applyFont="1" applyBorder="1" applyAlignment="1">
      <alignment horizontal="center"/>
    </xf>
    <xf numFmtId="0" fontId="6" fillId="0" borderId="0" xfId="5" applyFont="1" applyFill="1" applyBorder="1" applyAlignment="1">
      <alignment horizontal="center" vertical="top" wrapText="1"/>
    </xf>
    <xf numFmtId="169" fontId="6" fillId="0" borderId="0" xfId="5" applyNumberFormat="1" applyFont="1"/>
    <xf numFmtId="0" fontId="6" fillId="0" borderId="0" xfId="5" applyFont="1" applyAlignment="1"/>
    <xf numFmtId="1" fontId="6" fillId="0" borderId="1" xfId="5" applyNumberFormat="1" applyFont="1" applyBorder="1" applyAlignment="1">
      <alignment horizontal="center"/>
    </xf>
    <xf numFmtId="1" fontId="6" fillId="0" borderId="1" xfId="6" applyNumberFormat="1" applyFont="1" applyBorder="1" applyAlignment="1">
      <alignment horizontal="center"/>
    </xf>
    <xf numFmtId="1" fontId="6" fillId="0" borderId="0" xfId="5" applyNumberFormat="1" applyFont="1" applyAlignment="1">
      <alignment horizontal="center"/>
    </xf>
    <xf numFmtId="166" fontId="6" fillId="0" borderId="0" xfId="5" applyNumberFormat="1" applyFont="1" applyAlignment="1">
      <alignment horizontal="center"/>
    </xf>
    <xf numFmtId="170" fontId="6" fillId="0" borderId="0" xfId="5" applyNumberFormat="1" applyFont="1" applyAlignment="1">
      <alignment horizontal="center"/>
    </xf>
    <xf numFmtId="164" fontId="6" fillId="0" borderId="0" xfId="5" applyNumberFormat="1" applyFont="1" applyAlignment="1">
      <alignment horizontal="center"/>
    </xf>
    <xf numFmtId="0" fontId="4" fillId="0" borderId="0" xfId="5" applyAlignment="1">
      <alignment horizontal="center"/>
    </xf>
    <xf numFmtId="164" fontId="6" fillId="2" borderId="0" xfId="5" applyNumberFormat="1" applyFont="1" applyFill="1" applyAlignment="1">
      <alignment horizontal="center"/>
    </xf>
    <xf numFmtId="0" fontId="6" fillId="0" borderId="0" xfId="5" applyFont="1" applyAlignment="1">
      <alignment horizontal="right"/>
    </xf>
    <xf numFmtId="0" fontId="6" fillId="2" borderId="0" xfId="5" applyFont="1" applyFill="1"/>
    <xf numFmtId="0" fontId="8" fillId="0" borderId="0" xfId="5" applyFont="1" applyBorder="1" applyAlignment="1">
      <alignment horizontal="left"/>
    </xf>
    <xf numFmtId="0" fontId="11" fillId="0" borderId="0" xfId="5" applyFont="1" applyBorder="1"/>
    <xf numFmtId="0" fontId="7" fillId="0" borderId="0" xfId="5" applyFont="1" applyFill="1" applyBorder="1" applyAlignment="1">
      <alignment horizontal="center"/>
    </xf>
    <xf numFmtId="0" fontId="11" fillId="0" borderId="0" xfId="5" applyFont="1"/>
    <xf numFmtId="0" fontId="6" fillId="0" borderId="0" xfId="5" applyFont="1" applyBorder="1" applyAlignment="1">
      <alignment horizontal="left"/>
    </xf>
    <xf numFmtId="5" fontId="6" fillId="0" borderId="0" xfId="5" applyNumberFormat="1" applyFont="1" applyBorder="1" applyAlignment="1">
      <alignment horizontal="center"/>
    </xf>
    <xf numFmtId="169" fontId="6" fillId="0" borderId="0" xfId="5" applyNumberFormat="1" applyFont="1" applyFill="1" applyBorder="1" applyAlignment="1">
      <alignment horizontal="center" vertical="top" wrapText="1"/>
    </xf>
    <xf numFmtId="7" fontId="6" fillId="0" borderId="0" xfId="5" applyNumberFormat="1" applyFont="1" applyBorder="1" applyAlignment="1">
      <alignment horizontal="center"/>
    </xf>
    <xf numFmtId="171" fontId="6" fillId="2" borderId="0" xfId="5" applyNumberFormat="1" applyFont="1" applyFill="1" applyBorder="1" applyAlignment="1">
      <alignment horizontal="center"/>
    </xf>
    <xf numFmtId="0" fontId="10" fillId="0" borderId="0" xfId="5" applyFont="1" applyBorder="1" applyAlignment="1">
      <alignment horizontal="left"/>
    </xf>
    <xf numFmtId="0" fontId="6" fillId="0" borderId="0" xfId="5" applyFont="1" applyFill="1" applyBorder="1" applyAlignment="1">
      <alignment horizontal="center" vertical="top"/>
    </xf>
    <xf numFmtId="0" fontId="6" fillId="0" borderId="0" xfId="5" applyFont="1" applyFill="1" applyBorder="1" applyAlignment="1">
      <alignment vertical="top"/>
    </xf>
    <xf numFmtId="5" fontId="6" fillId="2" borderId="0" xfId="6" applyNumberFormat="1" applyFont="1" applyFill="1" applyBorder="1" applyAlignment="1">
      <alignment horizontal="center"/>
    </xf>
    <xf numFmtId="5" fontId="6" fillId="0" borderId="0" xfId="6" quotePrefix="1" applyNumberFormat="1" applyFont="1" applyBorder="1" applyAlignment="1">
      <alignment horizontal="center"/>
    </xf>
    <xf numFmtId="7" fontId="6" fillId="0" borderId="0" xfId="6" applyNumberFormat="1" applyFont="1" applyBorder="1" applyAlignment="1">
      <alignment horizontal="center" vertical="center"/>
    </xf>
    <xf numFmtId="0" fontId="6" fillId="0" borderId="0" xfId="5" applyFont="1" applyFill="1" applyBorder="1" applyAlignment="1">
      <alignment vertical="top" wrapText="1"/>
    </xf>
    <xf numFmtId="164" fontId="6" fillId="0" borderId="0" xfId="5" applyNumberFormat="1" applyFont="1" applyBorder="1" applyAlignment="1">
      <alignment horizontal="center" vertical="center"/>
    </xf>
    <xf numFmtId="0" fontId="4" fillId="0" borderId="0" xfId="5" applyFont="1"/>
    <xf numFmtId="7" fontId="6" fillId="0" borderId="0" xfId="5" applyNumberFormat="1" applyFont="1" applyAlignment="1">
      <alignment horizontal="center"/>
    </xf>
    <xf numFmtId="170" fontId="6" fillId="0" borderId="0" xfId="5" applyNumberFormat="1" applyFont="1" applyBorder="1" applyAlignment="1">
      <alignment horizontal="center"/>
    </xf>
    <xf numFmtId="0" fontId="6" fillId="0" borderId="8" xfId="0" applyFont="1" applyBorder="1"/>
    <xf numFmtId="0" fontId="6" fillId="0" borderId="0" xfId="0" applyFont="1" applyBorder="1" applyAlignment="1">
      <alignment horizontal="right"/>
    </xf>
    <xf numFmtId="166" fontId="6" fillId="2" borderId="0" xfId="3" applyNumberFormat="1" applyFont="1" applyFill="1" applyBorder="1" applyAlignment="1">
      <alignment horizontal="center"/>
    </xf>
    <xf numFmtId="0" fontId="12" fillId="0" borderId="0" xfId="0" applyFont="1"/>
    <xf numFmtId="0" fontId="6" fillId="0" borderId="0" xfId="0" applyFont="1" applyBorder="1"/>
    <xf numFmtId="0" fontId="6" fillId="7" borderId="0" xfId="0" applyFont="1" applyFill="1" applyBorder="1" applyAlignment="1">
      <alignment horizontal="center" vertical="top" wrapText="1"/>
    </xf>
    <xf numFmtId="0" fontId="12" fillId="0" borderId="1" xfId="0" applyFont="1" applyBorder="1" applyAlignment="1">
      <alignment horizontal="center"/>
    </xf>
    <xf numFmtId="164" fontId="12" fillId="0" borderId="0" xfId="0" applyNumberFormat="1" applyFont="1"/>
    <xf numFmtId="172" fontId="12" fillId="0" borderId="0" xfId="0" applyNumberFormat="1" applyFont="1"/>
    <xf numFmtId="0" fontId="12" fillId="0" borderId="0" xfId="0" applyFont="1" applyAlignment="1">
      <alignment horizontal="center"/>
    </xf>
    <xf numFmtId="0" fontId="6" fillId="8" borderId="0" xfId="5" applyFont="1" applyFill="1" applyBorder="1"/>
    <xf numFmtId="164" fontId="6" fillId="2" borderId="0" xfId="5" applyNumberFormat="1" applyFont="1" applyFill="1" applyAlignment="1">
      <alignment horizontal="center" vertical="center"/>
    </xf>
    <xf numFmtId="7" fontId="6" fillId="2" borderId="0" xfId="5" applyNumberFormat="1" applyFont="1" applyFill="1" applyBorder="1" applyAlignment="1">
      <alignment horizontal="center"/>
    </xf>
    <xf numFmtId="0" fontId="0" fillId="0" borderId="0" xfId="0" applyFont="1" applyAlignment="1">
      <alignment horizontal="left" vertical="center"/>
    </xf>
    <xf numFmtId="0" fontId="12" fillId="0" borderId="0" xfId="0" applyFont="1" applyAlignment="1">
      <alignment horizontal="right"/>
    </xf>
    <xf numFmtId="6" fontId="2" fillId="0" borderId="0" xfId="0" applyNumberFormat="1" applyFont="1" applyAlignment="1">
      <alignment vertical="center"/>
    </xf>
    <xf numFmtId="8" fontId="2" fillId="0" borderId="0" xfId="0" applyNumberFormat="1" applyFont="1" applyAlignment="1">
      <alignment vertical="center"/>
    </xf>
    <xf numFmtId="0" fontId="16" fillId="0" borderId="0" xfId="0" applyFont="1"/>
    <xf numFmtId="0" fontId="17" fillId="0" borderId="0" xfId="0" applyFont="1"/>
    <xf numFmtId="164" fontId="16" fillId="5" borderId="12" xfId="0" applyNumberFormat="1" applyFont="1" applyFill="1" applyBorder="1" applyAlignment="1" applyProtection="1">
      <alignment horizontal="center"/>
      <protection locked="0"/>
    </xf>
    <xf numFmtId="0" fontId="18" fillId="0" borderId="0" xfId="0" applyFont="1"/>
    <xf numFmtId="0" fontId="19" fillId="0" borderId="0" xfId="0" applyFont="1"/>
    <xf numFmtId="0" fontId="20" fillId="0" borderId="0" xfId="7" applyFont="1"/>
    <xf numFmtId="0" fontId="17" fillId="0" borderId="0" xfId="0" applyFont="1" applyProtection="1">
      <protection locked="0"/>
    </xf>
    <xf numFmtId="0" fontId="18" fillId="0" borderId="0" xfId="0" applyFont="1" applyProtection="1">
      <protection locked="0"/>
    </xf>
    <xf numFmtId="0" fontId="21" fillId="0" borderId="0" xfId="0" applyFont="1"/>
    <xf numFmtId="0" fontId="16" fillId="5" borderId="0" xfId="0" applyFont="1" applyFill="1" applyBorder="1" applyAlignment="1" applyProtection="1">
      <alignment horizontal="center"/>
      <protection locked="0"/>
    </xf>
    <xf numFmtId="0" fontId="22" fillId="0" borderId="0" xfId="0" applyFont="1" applyBorder="1" applyAlignment="1">
      <alignment horizontal="center"/>
    </xf>
    <xf numFmtId="3" fontId="16" fillId="5" borderId="0" xfId="0" applyNumberFormat="1" applyFont="1" applyFill="1" applyBorder="1" applyAlignment="1" applyProtection="1">
      <alignment horizontal="center"/>
      <protection locked="0"/>
    </xf>
    <xf numFmtId="0" fontId="16" fillId="0" borderId="0" xfId="0" applyFont="1" applyBorder="1"/>
    <xf numFmtId="0" fontId="20" fillId="0" borderId="0" xfId="7" applyFont="1" applyFill="1"/>
    <xf numFmtId="0" fontId="16" fillId="5" borderId="0" xfId="0" applyFont="1" applyFill="1" applyBorder="1" applyProtection="1">
      <protection locked="0"/>
    </xf>
    <xf numFmtId="166" fontId="16" fillId="5" borderId="0" xfId="0" applyNumberFormat="1" applyFont="1" applyFill="1" applyBorder="1" applyProtection="1">
      <protection locked="0"/>
    </xf>
    <xf numFmtId="0" fontId="20" fillId="0" borderId="0" xfId="7" applyFont="1" applyFill="1" applyBorder="1"/>
    <xf numFmtId="0" fontId="20" fillId="0" borderId="0" xfId="0" applyFont="1"/>
    <xf numFmtId="165" fontId="21" fillId="5" borderId="12" xfId="1" applyNumberFormat="1" applyFont="1" applyFill="1" applyBorder="1" applyAlignment="1" applyProtection="1">
      <alignment horizontal="center"/>
      <protection locked="0"/>
    </xf>
    <xf numFmtId="0" fontId="16" fillId="3" borderId="4" xfId="0" applyFont="1" applyFill="1" applyBorder="1"/>
    <xf numFmtId="0" fontId="21" fillId="3" borderId="4" xfId="0" applyFont="1" applyFill="1" applyBorder="1" applyAlignment="1">
      <alignment horizontal="center" wrapText="1"/>
    </xf>
    <xf numFmtId="0" fontId="16" fillId="0" borderId="4" xfId="0" applyFont="1" applyBorder="1"/>
    <xf numFmtId="164" fontId="16" fillId="0" borderId="4" xfId="0" applyNumberFormat="1" applyFont="1" applyBorder="1"/>
    <xf numFmtId="164" fontId="16" fillId="3" borderId="4" xfId="0" applyNumberFormat="1" applyFont="1" applyFill="1" applyBorder="1"/>
    <xf numFmtId="0" fontId="16" fillId="0" borderId="0" xfId="0" applyFont="1" applyAlignment="1">
      <alignment horizontal="center"/>
    </xf>
    <xf numFmtId="164" fontId="16" fillId="0" borderId="0" xfId="0" applyNumberFormat="1" applyFont="1"/>
    <xf numFmtId="0" fontId="21" fillId="0" borderId="4" xfId="0" applyFont="1" applyBorder="1"/>
    <xf numFmtId="164" fontId="21" fillId="0" borderId="4" xfId="0" applyNumberFormat="1" applyFont="1" applyBorder="1"/>
    <xf numFmtId="0" fontId="21" fillId="0" borderId="0" xfId="0" applyFont="1" applyFill="1" applyBorder="1"/>
    <xf numFmtId="164" fontId="21" fillId="0" borderId="0" xfId="0" applyNumberFormat="1" applyFont="1" applyFill="1" applyBorder="1"/>
    <xf numFmtId="0" fontId="16" fillId="0" borderId="0" xfId="0" applyFont="1" applyFill="1"/>
    <xf numFmtId="0" fontId="17" fillId="0" borderId="0" xfId="0" applyFont="1" applyFill="1"/>
    <xf numFmtId="165" fontId="21" fillId="0" borderId="4" xfId="1" applyNumberFormat="1" applyFont="1" applyFill="1" applyBorder="1" applyAlignment="1" applyProtection="1">
      <alignment horizontal="center"/>
    </xf>
    <xf numFmtId="165" fontId="21" fillId="3" borderId="4" xfId="1" applyNumberFormat="1" applyFont="1" applyFill="1" applyBorder="1" applyAlignment="1">
      <alignment horizontal="center"/>
    </xf>
    <xf numFmtId="0" fontId="21" fillId="3" borderId="4" xfId="0" applyFont="1" applyFill="1" applyBorder="1"/>
    <xf numFmtId="164" fontId="21" fillId="3" borderId="4" xfId="0" applyNumberFormat="1" applyFont="1" applyFill="1" applyBorder="1"/>
    <xf numFmtId="0" fontId="16" fillId="0" borderId="0" xfId="0" applyFont="1" applyFill="1" applyBorder="1"/>
    <xf numFmtId="164" fontId="16" fillId="0" borderId="0" xfId="0" applyNumberFormat="1" applyFont="1" applyFill="1" applyBorder="1"/>
    <xf numFmtId="0" fontId="16" fillId="3" borderId="4" xfId="0" applyFont="1" applyFill="1" applyBorder="1" applyAlignment="1">
      <alignment wrapText="1"/>
    </xf>
    <xf numFmtId="0" fontId="23" fillId="0" borderId="0" xfId="7" applyFont="1"/>
    <xf numFmtId="0" fontId="24" fillId="0" borderId="0" xfId="0" applyFont="1"/>
    <xf numFmtId="0" fontId="24" fillId="0" borderId="0" xfId="0" applyFont="1" applyAlignment="1">
      <alignment horizontal="right"/>
    </xf>
    <xf numFmtId="14" fontId="24" fillId="0" borderId="0" xfId="0" applyNumberFormat="1" applyFont="1" applyAlignment="1">
      <alignment horizontal="right"/>
    </xf>
    <xf numFmtId="2" fontId="0" fillId="0" borderId="0" xfId="0" applyNumberFormat="1"/>
    <xf numFmtId="0" fontId="0" fillId="2" borderId="0" xfId="0" applyFill="1" applyAlignment="1">
      <alignment horizontal="left"/>
    </xf>
    <xf numFmtId="0" fontId="0" fillId="0" borderId="0" xfId="0" applyFont="1"/>
    <xf numFmtId="0" fontId="25" fillId="0" borderId="0" xfId="0" applyFont="1"/>
    <xf numFmtId="0" fontId="19" fillId="0" borderId="0" xfId="0" applyFont="1" applyFill="1"/>
    <xf numFmtId="0" fontId="19" fillId="0" borderId="0" xfId="0" applyFont="1" applyFill="1" applyProtection="1">
      <protection locked="0"/>
    </xf>
    <xf numFmtId="0" fontId="19" fillId="0" borderId="0" xfId="0" quotePrefix="1" applyFont="1" applyFill="1"/>
    <xf numFmtId="0" fontId="0" fillId="0" borderId="4" xfId="0" applyFont="1" applyBorder="1"/>
    <xf numFmtId="0" fontId="18" fillId="0" borderId="0" xfId="0" applyFont="1" applyBorder="1"/>
    <xf numFmtId="0" fontId="6" fillId="0" borderId="0" xfId="0" applyFont="1"/>
    <xf numFmtId="0" fontId="6" fillId="2" borderId="0" xfId="0" applyFont="1" applyFill="1"/>
    <xf numFmtId="166" fontId="17" fillId="0" borderId="0" xfId="0" applyNumberFormat="1" applyFont="1" applyFill="1" applyBorder="1" applyProtection="1"/>
    <xf numFmtId="166" fontId="16" fillId="0" borderId="0" xfId="0" applyNumberFormat="1" applyFont="1" applyBorder="1" applyAlignment="1">
      <alignment horizontal="left"/>
    </xf>
    <xf numFmtId="166" fontId="16" fillId="0" borderId="0" xfId="0" applyNumberFormat="1" applyFont="1" applyFill="1" applyBorder="1" applyAlignment="1" applyProtection="1">
      <alignment horizontal="left"/>
    </xf>
    <xf numFmtId="173" fontId="0" fillId="0" borderId="0" xfId="2" applyNumberFormat="1" applyFont="1" applyAlignment="1">
      <alignment vertical="center"/>
    </xf>
    <xf numFmtId="0" fontId="3" fillId="0" borderId="0" xfId="4" quotePrefix="1"/>
    <xf numFmtId="0" fontId="0" fillId="0" borderId="0" xfId="0" applyFill="1"/>
    <xf numFmtId="167" fontId="0" fillId="0" borderId="0" xfId="0" applyNumberFormat="1" applyFill="1"/>
    <xf numFmtId="4" fontId="0" fillId="0" borderId="0" xfId="0" applyNumberFormat="1"/>
    <xf numFmtId="0" fontId="16" fillId="0" borderId="0" xfId="0" applyFont="1" applyAlignment="1">
      <alignment horizontal="left" wrapText="1"/>
    </xf>
    <xf numFmtId="0" fontId="15" fillId="4" borderId="0" xfId="0" applyFont="1" applyFill="1" applyAlignment="1">
      <alignment horizontal="center" vertical="center"/>
    </xf>
    <xf numFmtId="0" fontId="21" fillId="4" borderId="6" xfId="0" applyFont="1" applyFill="1" applyBorder="1" applyAlignment="1">
      <alignment horizontal="left"/>
    </xf>
    <xf numFmtId="0" fontId="21" fillId="4" borderId="5" xfId="0" applyFont="1" applyFill="1" applyBorder="1" applyAlignment="1">
      <alignment horizontal="left"/>
    </xf>
    <xf numFmtId="0" fontId="21" fillId="4" borderId="7" xfId="0" applyFont="1" applyFill="1" applyBorder="1" applyAlignment="1">
      <alignment horizontal="left"/>
    </xf>
    <xf numFmtId="0" fontId="16" fillId="5" borderId="0" xfId="0" applyFont="1" applyFill="1" applyBorder="1" applyAlignment="1" applyProtection="1">
      <alignment horizontal="left"/>
      <protection locked="0"/>
    </xf>
    <xf numFmtId="0" fontId="16" fillId="5" borderId="0" xfId="0" applyFont="1" applyFill="1" applyBorder="1" applyAlignment="1" applyProtection="1">
      <alignment horizontal="left" wrapText="1"/>
      <protection locked="0"/>
    </xf>
    <xf numFmtId="0" fontId="16" fillId="0" borderId="0" xfId="0" applyFont="1" applyAlignment="1">
      <alignment wrapText="1"/>
    </xf>
    <xf numFmtId="0" fontId="5" fillId="0" borderId="8" xfId="5" applyFont="1" applyBorder="1" applyAlignment="1">
      <alignment horizontal="left"/>
    </xf>
    <xf numFmtId="0" fontId="5" fillId="0" borderId="0" xfId="5" applyFont="1" applyBorder="1" applyAlignment="1">
      <alignment horizontal="left"/>
    </xf>
    <xf numFmtId="0" fontId="7" fillId="0" borderId="2" xfId="5" applyFont="1" applyBorder="1" applyAlignment="1">
      <alignment horizontal="center"/>
    </xf>
    <xf numFmtId="0" fontId="7" fillId="0" borderId="9" xfId="5" applyFont="1" applyBorder="1" applyAlignment="1">
      <alignment horizontal="center"/>
    </xf>
    <xf numFmtId="0" fontId="7" fillId="0" borderId="3" xfId="5" applyFont="1" applyBorder="1" applyAlignment="1">
      <alignment horizont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10" xfId="5" applyFont="1" applyBorder="1" applyAlignment="1">
      <alignment horizontal="center" vertical="center"/>
    </xf>
    <xf numFmtId="0" fontId="10" fillId="0" borderId="11" xfId="5" applyFont="1" applyBorder="1" applyAlignment="1">
      <alignment horizontal="center" vertical="center"/>
    </xf>
    <xf numFmtId="0" fontId="5" fillId="0" borderId="8" xfId="0" applyFont="1" applyBorder="1" applyAlignment="1">
      <alignment horizontal="left"/>
    </xf>
    <xf numFmtId="0" fontId="5" fillId="0" borderId="0" xfId="0" applyFont="1" applyBorder="1" applyAlignment="1">
      <alignment horizontal="left"/>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Alignment="1">
      <alignment horizontal="center"/>
    </xf>
  </cellXfs>
  <cellStyles count="8">
    <cellStyle name="Comma" xfId="2" builtinId="3"/>
    <cellStyle name="Currency" xfId="3" builtinId="4"/>
    <cellStyle name="Currency 2" xfId="6" xr:uid="{00000000-0005-0000-0000-000002000000}"/>
    <cellStyle name="Hyperlink" xfId="7" builtinId="8"/>
    <cellStyle name="Normal" xfId="0" builtinId="0"/>
    <cellStyle name="Normal 2" xfId="4" xr:uid="{00000000-0005-0000-0000-000005000000}"/>
    <cellStyle name="Normal 3" xfId="5" xr:uid="{00000000-0005-0000-0000-000006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Compensation / </a:t>
            </a:r>
          </a:p>
          <a:p>
            <a:pPr>
              <a:defRPr/>
            </a:pPr>
            <a:r>
              <a:rPr lang="en-US" baseline="0"/>
              <a:t>Benefits Package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33361407340198E-2"/>
          <c:y val="0.19268825354049993"/>
          <c:w val="0.59999981397676294"/>
          <c:h val="0.724331410445352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22-4522-B8BE-E4B8E42F85A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C95-473A-8CBC-45AACA59924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7D22-4522-B8BE-E4B8E42F85A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92-444B-B2BE-F462183EBCA8}"/>
              </c:ext>
            </c:extLst>
          </c:dPt>
          <c:dLbls>
            <c:dLbl>
              <c:idx val="0"/>
              <c:layout>
                <c:manualLayout>
                  <c:x val="-0.15204847990171977"/>
                  <c:y val="-0.1680862597156832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D22-4522-B8BE-E4B8E42F85AD}"/>
                </c:ext>
              </c:extLst>
            </c:dLbl>
            <c:dLbl>
              <c:idx val="2"/>
              <c:delete val="1"/>
              <c:extLst>
                <c:ext xmlns:c15="http://schemas.microsoft.com/office/drawing/2012/chart" uri="{CE6537A1-D6FC-4f65-9D91-7224C49458BB}"/>
                <c:ext xmlns:c16="http://schemas.microsoft.com/office/drawing/2014/chart" uri="{C3380CC4-5D6E-409C-BE32-E72D297353CC}">
                  <c16:uniqueId val="{00000002-7D22-4522-B8BE-E4B8E42F85A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Calculator!$A$73:$A$76</c:f>
              <c:strCache>
                <c:ptCount val="4"/>
                <c:pt idx="0">
                  <c:v>Compensation</c:v>
                </c:pt>
                <c:pt idx="1">
                  <c:v>Health Insurance (medical, dental, vision)</c:v>
                </c:pt>
                <c:pt idx="2">
                  <c:v>Basic Life (1 x Salary up to $400K)</c:v>
                </c:pt>
                <c:pt idx="3">
                  <c:v>Retirement (401K)</c:v>
                </c:pt>
              </c:strCache>
            </c:strRef>
          </c:cat>
          <c:val>
            <c:numRef>
              <c:f>Calculator!$B$73:$B$76</c:f>
              <c:numCache>
                <c:formatCode>"$"#,##0.00</c:formatCode>
                <c:ptCount val="4"/>
                <c:pt idx="0">
                  <c:v>0</c:v>
                </c:pt>
                <c:pt idx="1">
                  <c:v>0</c:v>
                </c:pt>
                <c:pt idx="2">
                  <c:v>0</c:v>
                </c:pt>
                <c:pt idx="3">
                  <c:v>0</c:v>
                </c:pt>
              </c:numCache>
            </c:numRef>
          </c:val>
          <c:extLst>
            <c:ext xmlns:c16="http://schemas.microsoft.com/office/drawing/2014/chart" uri="{C3380CC4-5D6E-409C-BE32-E72D297353CC}">
              <c16:uniqueId val="{00000000-7D22-4522-B8BE-E4B8E42F85A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916551198769924"/>
          <c:y val="0.3945512691425781"/>
          <c:w val="0.33641233014436284"/>
          <c:h val="0.4073338796877000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M6" fmlaRange="Medical" noThreeD="1" sel="1" val="0"/>
</file>

<file path=xl/ctrlProps/ctrlProp10.xml><?xml version="1.0" encoding="utf-8"?>
<formControlPr xmlns="http://schemas.microsoft.com/office/spreadsheetml/2009/9/main" objectType="Drop" dropLines="17" dropStyle="combo" dx="16" fmlaLink="M23" fmlaRange="ADD" noThreeD="1" sel="1" val="0"/>
</file>

<file path=xl/ctrlProps/ctrlProp11.xml><?xml version="1.0" encoding="utf-8"?>
<formControlPr xmlns="http://schemas.microsoft.com/office/spreadsheetml/2009/9/main" objectType="Drop" dropStyle="combo" dx="16" fmlaLink="M24" fmlaRange="wait" noThreeD="1" sel="1" val="0"/>
</file>

<file path=xl/ctrlProps/ctrlProp12.xml><?xml version="1.0" encoding="utf-8"?>
<formControlPr xmlns="http://schemas.microsoft.com/office/spreadsheetml/2009/9/main" objectType="Drop" dropStyle="combo" dx="16" fmlaLink="M25" fmlaRange="Legal" noThreeD="1" sel="1" val="0"/>
</file>

<file path=xl/ctrlProps/ctrlProp13.xml><?xml version="1.0" encoding="utf-8"?>
<formControlPr xmlns="http://schemas.microsoft.com/office/spreadsheetml/2009/9/main" objectType="Drop" dropLines="18" dropStyle="combo" dx="16" fmlaLink="M26" fmlaRange="ADD_AMT" noThreeD="1" sel="1" val="0"/>
</file>

<file path=xl/ctrlProps/ctrlProp14.xml><?xml version="1.0" encoding="utf-8"?>
<formControlPr xmlns="http://schemas.microsoft.com/office/spreadsheetml/2009/9/main" objectType="Drop" dropLines="3" dropStyle="combo" dx="16" fmlaLink="M20" fmlaRange="Bas_Lif" noThreeD="1" sel="1" val="0"/>
</file>

<file path=xl/ctrlProps/ctrlProp15.xml><?xml version="1.0" encoding="utf-8"?>
<formControlPr xmlns="http://schemas.microsoft.com/office/spreadsheetml/2009/9/main" objectType="Drop" dropLines="3" dropStyle="combo" dx="16" fmlaLink="M22" fmlaRange="child_lif" noThreeD="1" sel="1" val="0"/>
</file>

<file path=xl/ctrlProps/ctrlProp16.xml><?xml version="1.0" encoding="utf-8"?>
<formControlPr xmlns="http://schemas.microsoft.com/office/spreadsheetml/2009/9/main" objectType="Drop" dropLines="20" dropStyle="combo" dx="16" fmlaLink="M17" fmlaRange="DLSDP_AMT" noThreeD="1" sel="1" val="0"/>
</file>

<file path=xl/ctrlProps/ctrlProp2.xml><?xml version="1.0" encoding="utf-8"?>
<formControlPr xmlns="http://schemas.microsoft.com/office/spreadsheetml/2009/9/main" objectType="Drop" dropStyle="combo" dx="16" fmlaLink="M8" fmlaRange="Coverage" noThreeD="1" sel="1" val="0"/>
</file>

<file path=xl/ctrlProps/ctrlProp3.xml><?xml version="1.0" encoding="utf-8"?>
<formControlPr xmlns="http://schemas.microsoft.com/office/spreadsheetml/2009/9/main" objectType="Drop" dropStyle="combo" dx="16" fmlaLink="M10" fmlaRange="Dental" noThreeD="1" sel="1" val="0"/>
</file>

<file path=xl/ctrlProps/ctrlProp4.xml><?xml version="1.0" encoding="utf-8"?>
<formControlPr xmlns="http://schemas.microsoft.com/office/spreadsheetml/2009/9/main" objectType="Drop" dropStyle="combo" dx="16" fmlaLink="M14" fmlaRange="Vision" noThreeD="1" sel="1" val="0"/>
</file>

<file path=xl/ctrlProps/ctrlProp5.xml><?xml version="1.0" encoding="utf-8"?>
<formControlPr xmlns="http://schemas.microsoft.com/office/spreadsheetml/2009/9/main" objectType="Drop" dropStyle="combo" dx="16" fmlaLink="M12" fmlaRange="Coverage" noThreeD="1" sel="1" val="0"/>
</file>

<file path=xl/ctrlProps/ctrlProp6.xml><?xml version="1.0" encoding="utf-8"?>
<formControlPr xmlns="http://schemas.microsoft.com/office/spreadsheetml/2009/9/main" objectType="Drop" dropStyle="combo" dx="16" fmlaLink="M16" fmlaRange="Coverage" noThreeD="1" sel="1" val="0"/>
</file>

<file path=xl/ctrlProps/ctrlProp7.xml><?xml version="1.0" encoding="utf-8"?>
<formControlPr xmlns="http://schemas.microsoft.com/office/spreadsheetml/2009/9/main" objectType="Drop" dropLines="17" dropStyle="combo" dx="16" fmlaLink="M18" fmlaRange="AgeGroup" noThreeD="1" sel="1" val="0"/>
</file>

<file path=xl/ctrlProps/ctrlProp8.xml><?xml version="1.0" encoding="utf-8"?>
<formControlPr xmlns="http://schemas.microsoft.com/office/spreadsheetml/2009/9/main" objectType="Drop" dropLines="17" dropStyle="combo" dx="16" fmlaLink="M19" fmlaRange="Mult" noThreeD="1" sel="1" val="0"/>
</file>

<file path=xl/ctrlProps/ctrlProp9.xml><?xml version="1.0" encoding="utf-8"?>
<formControlPr xmlns="http://schemas.microsoft.com/office/spreadsheetml/2009/9/main" objectType="Drop" dropLines="3" dropStyle="combo" dx="16" fmlaLink="M21" fmlaRange="Dep_Life" noThreeD="1" sel="1" val="0"/>
</file>

<file path=xl/drawings/_rels/drawing1.xml.rels><?xml version="1.0" encoding="UTF-8" standalone="yes"?>
<Relationships xmlns="http://schemas.openxmlformats.org/package/2006/relationships"><Relationship Id="rId2" Type="http://schemas.openxmlformats.org/officeDocument/2006/relationships/hyperlink" Target="mailto:llnl-benefits@llnl.gov"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xdr:row>
          <xdr:rowOff>180975</xdr:rowOff>
        </xdr:from>
        <xdr:to>
          <xdr:col>3</xdr:col>
          <xdr:colOff>0</xdr:colOff>
          <xdr:row>6</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1604962</xdr:colOff>
      <xdr:row>50</xdr:row>
      <xdr:rowOff>314325</xdr:rowOff>
    </xdr:from>
    <xdr:to>
      <xdr:col>3</xdr:col>
      <xdr:colOff>495300</xdr:colOff>
      <xdr:row>69</xdr:row>
      <xdr:rowOff>76200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3</xdr:col>
          <xdr:colOff>0</xdr:colOff>
          <xdr:row>8</xdr:row>
          <xdr:rowOff>9525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3</xdr:col>
          <xdr:colOff>0</xdr:colOff>
          <xdr:row>10</xdr:row>
          <xdr:rowOff>9525</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9525</xdr:rowOff>
        </xdr:from>
        <xdr:to>
          <xdr:col>3</xdr:col>
          <xdr:colOff>0</xdr:colOff>
          <xdr:row>14</xdr:row>
          <xdr:rowOff>19050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3</xdr:col>
          <xdr:colOff>0</xdr:colOff>
          <xdr:row>12</xdr:row>
          <xdr:rowOff>9525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104775</xdr:rowOff>
        </xdr:from>
        <xdr:to>
          <xdr:col>3</xdr:col>
          <xdr:colOff>0</xdr:colOff>
          <xdr:row>16</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171450</xdr:rowOff>
        </xdr:from>
        <xdr:to>
          <xdr:col>2</xdr:col>
          <xdr:colOff>0</xdr:colOff>
          <xdr:row>17</xdr:row>
          <xdr:rowOff>180975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180975</xdr:rowOff>
        </xdr:from>
        <xdr:to>
          <xdr:col>2</xdr:col>
          <xdr:colOff>0</xdr:colOff>
          <xdr:row>19</xdr:row>
          <xdr:rowOff>0</xdr:rowOff>
        </xdr:to>
        <xdr:sp macro="" textlink="">
          <xdr:nvSpPr>
            <xdr:cNvPr id="1037" name="Drop Down 13" descr="Select Multiplier,1,2,3,4,5"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2</xdr:col>
          <xdr:colOff>0</xdr:colOff>
          <xdr:row>21</xdr:row>
          <xdr:rowOff>9525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9525</xdr:rowOff>
        </xdr:from>
        <xdr:to>
          <xdr:col>2</xdr:col>
          <xdr:colOff>0</xdr:colOff>
          <xdr:row>23</xdr:row>
          <xdr:rowOff>19050</xdr:rowOff>
        </xdr:to>
        <xdr:sp macro="" textlink="">
          <xdr:nvSpPr>
            <xdr:cNvPr id="1039" name="Drop Down 15" descr="Select Multiplier,1,2,3,4,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3</xdr:col>
          <xdr:colOff>0</xdr:colOff>
          <xdr:row>24</xdr:row>
          <xdr:rowOff>28575</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3</xdr:col>
          <xdr:colOff>0</xdr:colOff>
          <xdr:row>25</xdr:row>
          <xdr:rowOff>28575</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9525</xdr:rowOff>
        </xdr:from>
        <xdr:to>
          <xdr:col>3</xdr:col>
          <xdr:colOff>0</xdr:colOff>
          <xdr:row>23</xdr:row>
          <xdr:rowOff>9525</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180975</xdr:rowOff>
        </xdr:from>
        <xdr:to>
          <xdr:col>2</xdr:col>
          <xdr:colOff>0</xdr:colOff>
          <xdr:row>20</xdr:row>
          <xdr:rowOff>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857250</xdr:colOff>
      <xdr:row>85</xdr:row>
      <xdr:rowOff>28575</xdr:rowOff>
    </xdr:from>
    <xdr:to>
      <xdr:col>5</xdr:col>
      <xdr:colOff>419100</xdr:colOff>
      <xdr:row>86</xdr:row>
      <xdr:rowOff>9525</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6477000" y="17830800"/>
          <a:ext cx="13335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22</xdr:row>
          <xdr:rowOff>9525</xdr:rowOff>
        </xdr:to>
        <xdr:sp macro="" textlink="">
          <xdr:nvSpPr>
            <xdr:cNvPr id="1048" name="Drop Dow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enefits.llnl.gov/health-welfare/disability" TargetMode="External"/><Relationship Id="rId13" Type="http://schemas.openxmlformats.org/officeDocument/2006/relationships/drawing" Target="../drawings/drawing1.xml"/><Relationship Id="rId18" Type="http://schemas.openxmlformats.org/officeDocument/2006/relationships/ctrlProp" Target="../ctrlProps/ctrlProp4.xml"/><Relationship Id="rId26" Type="http://schemas.openxmlformats.org/officeDocument/2006/relationships/ctrlProp" Target="../ctrlProps/ctrlProp12.xml"/><Relationship Id="rId3" Type="http://schemas.openxmlformats.org/officeDocument/2006/relationships/hyperlink" Target="https://benefits.llnl.gov/health-welfare/vision" TargetMode="External"/><Relationship Id="rId21" Type="http://schemas.openxmlformats.org/officeDocument/2006/relationships/ctrlProp" Target="../ctrlProps/ctrlProp7.xml"/><Relationship Id="rId7" Type="http://schemas.openxmlformats.org/officeDocument/2006/relationships/hyperlink" Target="https://benefits.llnl.gov/health-welfare/life-insurance" TargetMode="External"/><Relationship Id="rId12" Type="http://schemas.openxmlformats.org/officeDocument/2006/relationships/printerSettings" Target="../printerSettings/printerSettings1.bin"/><Relationship Id="rId17" Type="http://schemas.openxmlformats.org/officeDocument/2006/relationships/ctrlProp" Target="../ctrlProps/ctrlProp3.xml"/><Relationship Id="rId25" Type="http://schemas.openxmlformats.org/officeDocument/2006/relationships/ctrlProp" Target="../ctrlProps/ctrlProp11.xml"/><Relationship Id="rId2" Type="http://schemas.openxmlformats.org/officeDocument/2006/relationships/hyperlink" Target="https://benefits.llnl.gov/health-welfare/dental" TargetMode="External"/><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1" Type="http://schemas.openxmlformats.org/officeDocument/2006/relationships/hyperlink" Target="https://benefits.llnl.gov/health-welfare/medical" TargetMode="External"/><Relationship Id="rId6" Type="http://schemas.openxmlformats.org/officeDocument/2006/relationships/hyperlink" Target="https://benefits.llnl.gov/health-welfare/life-insurance" TargetMode="External"/><Relationship Id="rId11" Type="http://schemas.openxmlformats.org/officeDocument/2006/relationships/hyperlink" Target="https://benefits.llnl.gov/health-welfare/life-insurance" TargetMode="External"/><Relationship Id="rId24" Type="http://schemas.openxmlformats.org/officeDocument/2006/relationships/ctrlProp" Target="../ctrlProps/ctrlProp10.xml"/><Relationship Id="rId5" Type="http://schemas.openxmlformats.org/officeDocument/2006/relationships/hyperlink" Target="https://benefits.llnl.gov/health-welfare/life-insurance" TargetMode="Externa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10" Type="http://schemas.openxmlformats.org/officeDocument/2006/relationships/hyperlink" Target="https://benefits.llnl.gov/retirement-savings/401k" TargetMode="External"/><Relationship Id="rId19" Type="http://schemas.openxmlformats.org/officeDocument/2006/relationships/ctrlProp" Target="../ctrlProps/ctrlProp5.xml"/><Relationship Id="rId4" Type="http://schemas.openxmlformats.org/officeDocument/2006/relationships/hyperlink" Target="https://benefits.llnl.gov/health-welfare/life-insurance" TargetMode="External"/><Relationship Id="rId9" Type="http://schemas.openxmlformats.org/officeDocument/2006/relationships/hyperlink" Target="https://benefits.llnl.gov/health-welfare/legal-insurance" TargetMode="External"/><Relationship Id="rId14" Type="http://schemas.openxmlformats.org/officeDocument/2006/relationships/vmlDrawing" Target="../drawings/vmlDrawing1.v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8"/>
  <sheetViews>
    <sheetView showGridLines="0" tabSelected="1" zoomScaleNormal="100" workbookViewId="0">
      <selection activeCell="B4" sqref="B4"/>
    </sheetView>
  </sheetViews>
  <sheetFormatPr defaultColWidth="9.140625" defaultRowHeight="15" x14ac:dyDescent="0.25"/>
  <cols>
    <col min="1" max="1" width="41.7109375" style="76" customWidth="1"/>
    <col min="2" max="3" width="21.28515625" style="76" customWidth="1"/>
    <col min="4" max="4" width="15.28515625" style="76" customWidth="1"/>
    <col min="5" max="6" width="11.28515625" style="76" customWidth="1"/>
    <col min="7" max="12" width="9.140625" style="76"/>
    <col min="13" max="14" width="9.140625" style="77" hidden="1" customWidth="1"/>
    <col min="15" max="16384" width="9.140625" style="76"/>
  </cols>
  <sheetData>
    <row r="1" spans="1:17" ht="32.25" customHeight="1" x14ac:dyDescent="0.25">
      <c r="A1" s="139" t="s">
        <v>239</v>
      </c>
      <c r="B1" s="139"/>
      <c r="C1" s="139"/>
      <c r="D1" s="139"/>
      <c r="E1" s="139"/>
      <c r="F1" s="139"/>
    </row>
    <row r="2" spans="1:17" ht="75.2" customHeight="1" x14ac:dyDescent="0.25">
      <c r="A2" s="145" t="s">
        <v>258</v>
      </c>
      <c r="B2" s="145"/>
      <c r="C2" s="145"/>
      <c r="D2" s="145"/>
      <c r="E2" s="145"/>
      <c r="F2" s="145"/>
    </row>
    <row r="4" spans="1:17" x14ac:dyDescent="0.25">
      <c r="A4" s="76" t="s">
        <v>252</v>
      </c>
      <c r="B4" s="78">
        <v>0</v>
      </c>
      <c r="O4" s="79"/>
      <c r="P4" s="79"/>
      <c r="Q4" s="80"/>
    </row>
    <row r="5" spans="1:17" x14ac:dyDescent="0.25">
      <c r="O5" s="79"/>
      <c r="P5" s="79"/>
      <c r="Q5" s="80"/>
    </row>
    <row r="6" spans="1:17" x14ac:dyDescent="0.25">
      <c r="A6" s="81" t="s">
        <v>28</v>
      </c>
      <c r="B6" s="143" t="str">
        <f>INDEX(Medical,M6)</f>
        <v>Select Medical Plan</v>
      </c>
      <c r="C6" s="143"/>
      <c r="M6" s="82">
        <v>1</v>
      </c>
      <c r="N6" s="82" t="str">
        <f>INDEX(Medical,M6)</f>
        <v>Select Medical Plan</v>
      </c>
      <c r="O6" s="83"/>
      <c r="P6" s="79"/>
      <c r="Q6" s="80"/>
    </row>
    <row r="7" spans="1:17" ht="9" customHeight="1" x14ac:dyDescent="0.25">
      <c r="M7" s="82"/>
      <c r="N7" s="82"/>
      <c r="O7" s="83"/>
      <c r="P7" s="79"/>
      <c r="Q7" s="80"/>
    </row>
    <row r="8" spans="1:17" x14ac:dyDescent="0.25">
      <c r="A8" s="76" t="s">
        <v>29</v>
      </c>
      <c r="B8" s="143" t="str">
        <f>INDEX(Coverage,M8)</f>
        <v>Select Coverage</v>
      </c>
      <c r="C8" s="143"/>
      <c r="M8" s="82">
        <v>1</v>
      </c>
      <c r="N8" s="82" t="str">
        <f>INDEX(Coverage,M8)</f>
        <v>Select Coverage</v>
      </c>
      <c r="O8" s="83"/>
      <c r="P8" s="79"/>
      <c r="Q8" s="80"/>
    </row>
    <row r="9" spans="1:17" ht="9" customHeight="1" x14ac:dyDescent="0.25">
      <c r="M9" s="82"/>
      <c r="N9" s="82"/>
      <c r="O9" s="83"/>
      <c r="P9" s="79"/>
      <c r="Q9" s="80"/>
    </row>
    <row r="10" spans="1:17" ht="15" customHeight="1" x14ac:dyDescent="0.25">
      <c r="A10" s="81" t="s">
        <v>30</v>
      </c>
      <c r="B10" s="144" t="str">
        <f>INDEX(Dental,M10)</f>
        <v>Select Dental Plan</v>
      </c>
      <c r="C10" s="144"/>
      <c r="G10" s="80"/>
      <c r="M10" s="82">
        <v>1</v>
      </c>
      <c r="N10" s="82" t="str">
        <f>INDEX(Dental,M10)</f>
        <v>Select Dental Plan</v>
      </c>
      <c r="O10" s="83"/>
      <c r="P10" s="79"/>
      <c r="Q10" s="80"/>
    </row>
    <row r="11" spans="1:17" ht="9" customHeight="1" x14ac:dyDescent="0.25">
      <c r="M11" s="82"/>
      <c r="N11" s="82"/>
      <c r="O11" s="83"/>
      <c r="P11" s="79"/>
      <c r="Q11" s="80"/>
    </row>
    <row r="12" spans="1:17" x14ac:dyDescent="0.25">
      <c r="A12" s="76" t="s">
        <v>31</v>
      </c>
      <c r="B12" s="143" t="str">
        <f>INDEX(Coverage,M12)</f>
        <v>Select Coverage</v>
      </c>
      <c r="C12" s="143"/>
      <c r="M12" s="82">
        <v>1</v>
      </c>
      <c r="N12" s="82" t="str">
        <f>INDEX(Coverage,M12)</f>
        <v>Select Coverage</v>
      </c>
      <c r="O12" s="83"/>
      <c r="P12" s="79"/>
      <c r="Q12" s="80"/>
    </row>
    <row r="13" spans="1:17" ht="9" customHeight="1" x14ac:dyDescent="0.25">
      <c r="M13" s="82"/>
      <c r="N13" s="82"/>
      <c r="O13" s="83"/>
      <c r="P13" s="79"/>
      <c r="Q13" s="80"/>
    </row>
    <row r="14" spans="1:17" x14ac:dyDescent="0.25">
      <c r="A14" s="81" t="s">
        <v>37</v>
      </c>
      <c r="B14" s="143" t="str">
        <f>INDEX(Vision,M14)</f>
        <v>Select Vision Plan</v>
      </c>
      <c r="C14" s="143"/>
      <c r="M14" s="82">
        <v>1</v>
      </c>
      <c r="N14" s="82" t="str">
        <f>INDEX(Vision,M14)</f>
        <v>Select Vision Plan</v>
      </c>
      <c r="O14" s="83"/>
      <c r="P14" s="79"/>
      <c r="Q14" s="80"/>
    </row>
    <row r="15" spans="1:17" ht="9" customHeight="1" x14ac:dyDescent="0.25">
      <c r="M15" s="82"/>
      <c r="N15" s="82"/>
      <c r="O15" s="83"/>
      <c r="P15" s="79"/>
      <c r="Q15" s="80"/>
    </row>
    <row r="16" spans="1:17" x14ac:dyDescent="0.25">
      <c r="A16" s="76" t="s">
        <v>38</v>
      </c>
      <c r="B16" s="143" t="str">
        <f>INDEX(Coverage,M16)</f>
        <v>Select Coverage</v>
      </c>
      <c r="C16" s="143"/>
      <c r="M16" s="82">
        <v>1</v>
      </c>
      <c r="N16" s="82" t="str">
        <f>INDEX(Coverage,M16)</f>
        <v>Select Coverage</v>
      </c>
      <c r="O16" s="83"/>
      <c r="P16" s="79"/>
      <c r="Q16" s="80"/>
    </row>
    <row r="17" spans="1:17" x14ac:dyDescent="0.25">
      <c r="M17" s="82">
        <v>1</v>
      </c>
      <c r="N17" s="82" t="str">
        <f>INDEX(DLSDP_AMT,M17)</f>
        <v>Select Amount</v>
      </c>
      <c r="O17" s="83"/>
      <c r="P17" s="79"/>
      <c r="Q17" s="80"/>
    </row>
    <row r="18" spans="1:17" x14ac:dyDescent="0.25">
      <c r="A18" s="84" t="s">
        <v>69</v>
      </c>
      <c r="B18" s="85" t="str">
        <f>INDEX(AgeGroup,M18)</f>
        <v>Select Age Group</v>
      </c>
      <c r="C18" s="86" t="s">
        <v>36</v>
      </c>
      <c r="M18" s="82">
        <v>1</v>
      </c>
      <c r="N18" s="82" t="str">
        <f>INDEX(AgeGroup,M18)</f>
        <v>Select Age Group</v>
      </c>
      <c r="O18" s="83"/>
      <c r="P18" s="79"/>
      <c r="Q18" s="80"/>
    </row>
    <row r="19" spans="1:17" x14ac:dyDescent="0.25">
      <c r="A19" s="81" t="s">
        <v>221</v>
      </c>
      <c r="B19" s="87" t="str">
        <f>INDEX(Mult,M19)</f>
        <v>Select Multiplier</v>
      </c>
      <c r="C19" s="131">
        <f ca="1">IF(B18="Select Age Group",0,IF(B19="Select Multiplier",0,OFFSET('Supplemental Life'!$B$16:$F$16,0,Calculator!B19-1,1,1)))</f>
        <v>0</v>
      </c>
      <c r="G19" s="121"/>
      <c r="M19" s="82">
        <v>1</v>
      </c>
      <c r="N19" s="82" t="str">
        <f>INDEX(Mult,M19)</f>
        <v>Select Multiplier</v>
      </c>
      <c r="O19" s="83"/>
      <c r="P19" s="79"/>
      <c r="Q19" s="80"/>
    </row>
    <row r="20" spans="1:17" x14ac:dyDescent="0.25">
      <c r="A20" s="81" t="s">
        <v>52</v>
      </c>
      <c r="B20" s="88" t="str">
        <f>INDEX(Bas_Lif,M20)</f>
        <v>$0 or $5,000</v>
      </c>
      <c r="C20" s="132">
        <f>IF(B20="$0 or $5,000",0,INDEX(Bas_Lif,M20))</f>
        <v>0</v>
      </c>
      <c r="G20" s="123"/>
      <c r="H20" s="123"/>
      <c r="I20" s="123"/>
      <c r="J20" s="123"/>
      <c r="K20" s="123"/>
      <c r="L20" s="123"/>
      <c r="M20" s="124">
        <v>1</v>
      </c>
      <c r="N20" s="124" t="str">
        <f>INDEX(Bas_Lif,M20)</f>
        <v>$0 or $5,000</v>
      </c>
      <c r="O20" s="124"/>
      <c r="P20" s="123"/>
      <c r="Q20" s="123"/>
    </row>
    <row r="21" spans="1:17" x14ac:dyDescent="0.25">
      <c r="A21" s="89" t="s">
        <v>289</v>
      </c>
      <c r="B21" s="90" t="str">
        <f>INDEX(Dep_Life,M21)</f>
        <v>Select Coverage</v>
      </c>
      <c r="C21" s="130" t="str">
        <f>INDEX(DLSDP_AMT,M17)</f>
        <v>Select Amount</v>
      </c>
      <c r="D21" s="122"/>
      <c r="G21" s="123"/>
      <c r="H21" s="123"/>
      <c r="I21" s="123"/>
      <c r="J21" s="125"/>
      <c r="K21" s="123"/>
      <c r="L21" s="123"/>
      <c r="M21" s="124">
        <v>1</v>
      </c>
      <c r="N21" s="124" t="str">
        <f>INDEX(Dep_Life,M21)</f>
        <v>Select Coverage</v>
      </c>
      <c r="O21" s="124"/>
      <c r="P21" s="123"/>
      <c r="Q21" s="123"/>
    </row>
    <row r="22" spans="1:17" x14ac:dyDescent="0.25">
      <c r="A22" s="89" t="s">
        <v>290</v>
      </c>
      <c r="B22" s="127" t="str">
        <f>INDEX(child_lif,M22)</f>
        <v>$0 or $10,000</v>
      </c>
      <c r="C22" s="132">
        <f>IF(B22="$0 or $10,000",0,INDEX(child_lif,M22))</f>
        <v>0</v>
      </c>
      <c r="D22" s="122"/>
      <c r="G22" s="123"/>
      <c r="H22" s="123"/>
      <c r="I22" s="123"/>
      <c r="J22" s="125"/>
      <c r="K22" s="123"/>
      <c r="L22" s="123"/>
      <c r="M22" s="124">
        <v>1</v>
      </c>
      <c r="N22" s="124" t="str">
        <f>INDEX(child_lif,M22)</f>
        <v>$0 or $10,000</v>
      </c>
      <c r="O22" s="83"/>
      <c r="P22" s="123"/>
      <c r="Q22" s="123"/>
    </row>
    <row r="23" spans="1:17" x14ac:dyDescent="0.25">
      <c r="A23" s="89" t="s">
        <v>68</v>
      </c>
      <c r="B23" s="90" t="str">
        <f>INDEX(ADD,M23)</f>
        <v>Select Coverage</v>
      </c>
      <c r="C23" s="91" t="str">
        <f>INDEX(ADD_AMT,M26)</f>
        <v>Select Amount</v>
      </c>
      <c r="M23" s="82">
        <v>1</v>
      </c>
      <c r="N23" s="82" t="str">
        <f>INDEX(ADD,M23)</f>
        <v>Select Coverage</v>
      </c>
      <c r="O23" s="83"/>
      <c r="P23" s="79"/>
      <c r="Q23" s="80"/>
    </row>
    <row r="24" spans="1:17" x14ac:dyDescent="0.25">
      <c r="A24" s="89" t="s">
        <v>75</v>
      </c>
      <c r="B24" s="143" t="str">
        <f>INDEX(wait,M24)</f>
        <v>Select Waiting Period (days)</v>
      </c>
      <c r="C24" s="143"/>
      <c r="M24" s="82">
        <v>1</v>
      </c>
      <c r="N24" s="82" t="str">
        <f>INDEX(wait,M24)</f>
        <v>Select Waiting Period (days)</v>
      </c>
      <c r="O24" s="83"/>
      <c r="P24" s="79"/>
      <c r="Q24" s="80"/>
    </row>
    <row r="25" spans="1:17" x14ac:dyDescent="0.25">
      <c r="A25" s="92" t="s">
        <v>236</v>
      </c>
      <c r="B25" s="143" t="str">
        <f>INDEX(Legal,M25)</f>
        <v>Select Coverage</v>
      </c>
      <c r="C25" s="143"/>
      <c r="M25" s="82">
        <v>1</v>
      </c>
      <c r="N25" s="82" t="str">
        <f>INDEX(Legal,M25)</f>
        <v>Select Coverage</v>
      </c>
      <c r="O25" s="83"/>
      <c r="P25" s="79"/>
      <c r="Q25" s="80"/>
    </row>
    <row r="26" spans="1:17" x14ac:dyDescent="0.25">
      <c r="A26" s="93"/>
      <c r="M26" s="82">
        <v>1</v>
      </c>
      <c r="N26" s="82" t="str">
        <f>INDEX(ADD_AMT,M26)</f>
        <v>Select Amount</v>
      </c>
      <c r="O26" s="79"/>
      <c r="P26" s="79"/>
      <c r="Q26" s="80"/>
    </row>
    <row r="27" spans="1:17" x14ac:dyDescent="0.25">
      <c r="A27" s="81" t="s">
        <v>243</v>
      </c>
      <c r="B27" s="94">
        <v>0.06</v>
      </c>
      <c r="C27" s="76" t="s">
        <v>253</v>
      </c>
      <c r="P27" s="79"/>
      <c r="Q27" s="80"/>
    </row>
    <row r="29" spans="1:17" x14ac:dyDescent="0.25">
      <c r="A29" s="140" t="s">
        <v>245</v>
      </c>
      <c r="B29" s="142"/>
      <c r="C29" s="141"/>
    </row>
    <row r="30" spans="1:17" x14ac:dyDescent="0.25">
      <c r="A30" s="95"/>
      <c r="B30" s="96" t="s">
        <v>39</v>
      </c>
      <c r="C30" s="96" t="s">
        <v>40</v>
      </c>
    </row>
    <row r="31" spans="1:17" x14ac:dyDescent="0.25">
      <c r="A31" s="97" t="s">
        <v>32</v>
      </c>
      <c r="B31" s="98">
        <f>IF(OR(B6="Waive Coverage",B6="Select Medical Plan",B8="Select Coverage"),0,IF(ISNA(VLOOKUP(B6&amp;B8,'Medical Benefits'!$A$2:$F$45,5,FALSE)),"",VLOOKUP(B6&amp;B8,'Medical Benefits'!$A$2:$F$45,5,FALSE)))*12</f>
        <v>0</v>
      </c>
      <c r="C31" s="98">
        <f>IF(OR(B6="Waive Coverage",B6="Select Medical Plan",B8="Select Coverage"),0,IF(ISNA(VLOOKUP(B6&amp;B8,'Medical Benefits'!$A$2:$F$45,6,FALSE)),"",VLOOKUP(B6&amp;B8,'Medical Benefits'!$A$2:$F$45,6,FALSE)))*12</f>
        <v>0</v>
      </c>
      <c r="E31" s="101"/>
    </row>
    <row r="32" spans="1:17" x14ac:dyDescent="0.25">
      <c r="A32" s="95" t="s">
        <v>33</v>
      </c>
      <c r="B32" s="99">
        <f>IF(OR(B10="Waive Coverage",B10="Select Dental Plan",B12="Select Coverage"),0,IF(ISNA(VLOOKUP(B10&amp;B12,'Medical Benefits'!$A$2:$F$45,5,FALSE)),"",VLOOKUP(B10&amp;B12,'Medical Benefits'!$A$2:$F$45,5,FALSE)))*12</f>
        <v>0</v>
      </c>
      <c r="C32" s="99">
        <f>IF(OR(B10="Waive Coverage",B10="Select Dental Plan",B12="Select Coverage"),0,IF(ISNA(VLOOKUP(B10&amp;B12,'Medical Benefits'!$A$2:$F$45,6,FALSE)),"",VLOOKUP(B10&amp;B12,'Medical Benefits'!$A$2:$F$45,6,FALSE)))*12</f>
        <v>0</v>
      </c>
    </row>
    <row r="33" spans="1:14" x14ac:dyDescent="0.25">
      <c r="A33" s="97" t="s">
        <v>34</v>
      </c>
      <c r="B33" s="98">
        <f>IF(OR(B14="Waive Coverage",B14="Select Vision Plan",B16="Select Coverage"),0,IF(ISNA(VLOOKUP(B14&amp;B16,'Medical Benefits'!$A$2:$F$45,5,FALSE)),"",VLOOKUP(B14&amp;B16,'Medical Benefits'!$A$2:$F$45,5,FALSE)))*12</f>
        <v>0</v>
      </c>
      <c r="C33" s="98">
        <f>IF(OR(B14="Waive Coverage",B14="Select Vision Plan",B16="Select Coverage"),0,IF(ISNA(VLOOKUP(B14&amp;B16,'Medical Benefits'!$A$2:$F$45,6,FALSE)),"",VLOOKUP(B14&amp;B16,'Medical Benefits'!$A$2:$F$45,6,FALSE)))*12</f>
        <v>0</v>
      </c>
      <c r="E33" s="101"/>
    </row>
    <row r="34" spans="1:14" x14ac:dyDescent="0.25">
      <c r="A34" s="95" t="s">
        <v>238</v>
      </c>
      <c r="B34" s="99">
        <f>IF(B18="Select Age Group",0,MIN((ROUNDUP(B4,-3)/1000),400)*0.104*12)</f>
        <v>0</v>
      </c>
      <c r="C34" s="99">
        <v>0</v>
      </c>
      <c r="D34" s="76" t="s">
        <v>260</v>
      </c>
    </row>
    <row r="35" spans="1:14" x14ac:dyDescent="0.25">
      <c r="A35" s="97" t="s">
        <v>51</v>
      </c>
      <c r="B35" s="98">
        <v>0</v>
      </c>
      <c r="C35" s="98">
        <f ca="1">IF(B18="Select Age Group",0,IF(B19="Select Multiplier",0,OFFSET('Supplemental Life'!$B$19:$F$19,0,Calculator!B19-1,1,1)))*12</f>
        <v>0</v>
      </c>
      <c r="D35" s="100"/>
      <c r="E35" s="101"/>
    </row>
    <row r="36" spans="1:14" x14ac:dyDescent="0.25">
      <c r="A36" s="95" t="s">
        <v>52</v>
      </c>
      <c r="B36" s="99">
        <v>0</v>
      </c>
      <c r="C36" s="99">
        <f>IF(B18="Select Age Group",0,'Dependent Life'!B8)*12</f>
        <v>0</v>
      </c>
    </row>
    <row r="37" spans="1:14" x14ac:dyDescent="0.25">
      <c r="A37" s="126" t="s">
        <v>289</v>
      </c>
      <c r="B37" s="98">
        <v>0</v>
      </c>
      <c r="C37" s="98">
        <f>IF(B21="Spouse/Domestic Partner",'Dependent Life'!B17,0)*12</f>
        <v>0</v>
      </c>
      <c r="D37" s="80"/>
      <c r="E37" s="101"/>
    </row>
    <row r="38" spans="1:14" x14ac:dyDescent="0.25">
      <c r="A38" s="126" t="s">
        <v>290</v>
      </c>
      <c r="B38" s="98">
        <v>0</v>
      </c>
      <c r="C38" s="98">
        <f>IF(B22=10000,'Dependent Life'!B25,0)*12</f>
        <v>0</v>
      </c>
      <c r="E38" s="101"/>
    </row>
    <row r="39" spans="1:14" x14ac:dyDescent="0.25">
      <c r="A39" s="95" t="s">
        <v>67</v>
      </c>
      <c r="B39" s="99">
        <v>0</v>
      </c>
      <c r="C39" s="99">
        <f>IF(OR(B23="Select Coverage",C23="Select Amount"),0,VLOOKUP(B23&amp;C23,'AD&amp;D'!$A$2:$D$52,4,FALSE))*12</f>
        <v>0</v>
      </c>
      <c r="E39" s="101"/>
    </row>
    <row r="40" spans="1:14" x14ac:dyDescent="0.25">
      <c r="A40" s="97" t="s">
        <v>60</v>
      </c>
      <c r="B40" s="98">
        <v>0</v>
      </c>
      <c r="C40" s="98">
        <f>IF(B24="Select Waiting Period (days)",0,'Supplemental Disability'!B22)*12</f>
        <v>0</v>
      </c>
      <c r="E40" s="101"/>
    </row>
    <row r="41" spans="1:14" x14ac:dyDescent="0.25">
      <c r="A41" s="95" t="s">
        <v>236</v>
      </c>
      <c r="B41" s="99">
        <v>0</v>
      </c>
      <c r="C41" s="99">
        <f>IF(B25="Select Coverage",0,VLOOKUP(B25,Legal!$A$2:$B$5,2,FALSE))*12</f>
        <v>0</v>
      </c>
      <c r="E41" s="101"/>
    </row>
    <row r="42" spans="1:14" x14ac:dyDescent="0.25">
      <c r="A42" s="102" t="s">
        <v>35</v>
      </c>
      <c r="B42" s="103">
        <f>SUM(B31:B41)</f>
        <v>0</v>
      </c>
      <c r="C42" s="103">
        <f ca="1">SUM(C31:C40)</f>
        <v>0</v>
      </c>
    </row>
    <row r="43" spans="1:14" s="106" customFormat="1" x14ac:dyDescent="0.25">
      <c r="A43" s="104"/>
      <c r="B43" s="105"/>
      <c r="C43" s="105"/>
      <c r="M43" s="107"/>
      <c r="N43" s="107"/>
    </row>
    <row r="44" spans="1:14" ht="15" customHeight="1" x14ac:dyDescent="0.25"/>
    <row r="45" spans="1:14" x14ac:dyDescent="0.25">
      <c r="A45" s="140" t="s">
        <v>44</v>
      </c>
      <c r="B45" s="142"/>
      <c r="C45" s="142"/>
      <c r="D45" s="141"/>
    </row>
    <row r="46" spans="1:14" ht="30" x14ac:dyDescent="0.25">
      <c r="A46" s="95"/>
      <c r="B46" s="96" t="s">
        <v>244</v>
      </c>
      <c r="C46" s="96" t="s">
        <v>45</v>
      </c>
      <c r="D46" s="96" t="s">
        <v>48</v>
      </c>
    </row>
    <row r="47" spans="1:14" x14ac:dyDescent="0.25">
      <c r="A47" s="97" t="s">
        <v>45</v>
      </c>
      <c r="B47" s="98"/>
      <c r="C47" s="98">
        <f>IF(B4*B27&gt;19500,19500,B4*B27)</f>
        <v>0</v>
      </c>
      <c r="D47" s="108">
        <f t="shared" ref="D47" si="0">IF(C47=0,0,SUM(B47:C47)/$B$4)</f>
        <v>0</v>
      </c>
      <c r="E47" s="76" t="str">
        <f>IF(B4*B27&gt;19500,"*Max Employee Contribution is $19,500","")</f>
        <v/>
      </c>
    </row>
    <row r="48" spans="1:14" x14ac:dyDescent="0.25">
      <c r="A48" s="95" t="s">
        <v>46</v>
      </c>
      <c r="B48" s="99">
        <f>MIN(C47,B4*0.06)</f>
        <v>0</v>
      </c>
      <c r="C48" s="99"/>
      <c r="D48" s="109">
        <f>IF(B48=0,0,SUM(B48:C48)/$B$4)</f>
        <v>0</v>
      </c>
    </row>
    <row r="49" spans="1:5" x14ac:dyDescent="0.25">
      <c r="A49" s="97" t="s">
        <v>248</v>
      </c>
      <c r="B49" s="98">
        <f>IF(D47=0,0,IF(B4&gt;290000,290000*0.035,B4*0.035))</f>
        <v>0</v>
      </c>
      <c r="C49" s="98"/>
      <c r="D49" s="108">
        <f>IF(B49=0,0,SUM(B49:C49)/$B$4)</f>
        <v>0</v>
      </c>
      <c r="E49" s="76" t="str">
        <f>IF(B4&gt;290000,"*Max Service Based Contribution","")</f>
        <v/>
      </c>
    </row>
    <row r="50" spans="1:5" x14ac:dyDescent="0.25">
      <c r="A50" s="110" t="s">
        <v>47</v>
      </c>
      <c r="B50" s="111">
        <f>SUM(B47:B49)</f>
        <v>0</v>
      </c>
      <c r="C50" s="111">
        <f>SUM(C47:C49)</f>
        <v>0</v>
      </c>
      <c r="D50" s="109">
        <f>IF(B50=0,0,SUM(B50:C50)/$B$4)</f>
        <v>0</v>
      </c>
    </row>
    <row r="51" spans="1:5" ht="29.25" customHeight="1" x14ac:dyDescent="0.25"/>
    <row r="54" spans="1:5" ht="15" customHeight="1" x14ac:dyDescent="0.25"/>
    <row r="66" spans="1:14" s="106" customFormat="1" x14ac:dyDescent="0.25">
      <c r="A66" s="112"/>
      <c r="B66" s="113"/>
      <c r="M66" s="107"/>
      <c r="N66" s="107"/>
    </row>
    <row r="67" spans="1:14" s="106" customFormat="1" x14ac:dyDescent="0.25">
      <c r="A67" s="112"/>
      <c r="B67" s="113"/>
      <c r="M67" s="107"/>
      <c r="N67" s="107"/>
    </row>
    <row r="68" spans="1:14" s="106" customFormat="1" x14ac:dyDescent="0.25">
      <c r="A68" s="112"/>
      <c r="B68" s="113"/>
      <c r="M68" s="107"/>
      <c r="N68" s="107"/>
    </row>
    <row r="69" spans="1:14" s="106" customFormat="1" x14ac:dyDescent="0.25">
      <c r="A69" s="112"/>
      <c r="B69" s="113"/>
      <c r="M69" s="107"/>
      <c r="N69" s="107"/>
    </row>
    <row r="70" spans="1:14" s="106" customFormat="1" x14ac:dyDescent="0.25">
      <c r="A70" s="112"/>
      <c r="B70" s="113"/>
      <c r="M70" s="107"/>
      <c r="N70" s="107"/>
    </row>
    <row r="71" spans="1:14" s="106" customFormat="1" x14ac:dyDescent="0.25">
      <c r="A71" s="112"/>
      <c r="B71" s="113"/>
      <c r="M71" s="107"/>
      <c r="N71" s="107"/>
    </row>
    <row r="72" spans="1:14" s="106" customFormat="1" x14ac:dyDescent="0.25">
      <c r="A72" s="140" t="s">
        <v>259</v>
      </c>
      <c r="B72" s="141"/>
      <c r="M72" s="107"/>
      <c r="N72" s="107"/>
    </row>
    <row r="73" spans="1:14" s="106" customFormat="1" x14ac:dyDescent="0.25">
      <c r="A73" s="97" t="s">
        <v>61</v>
      </c>
      <c r="B73" s="103">
        <f>B4</f>
        <v>0</v>
      </c>
      <c r="M73" s="107"/>
      <c r="N73" s="107"/>
    </row>
    <row r="74" spans="1:14" s="106" customFormat="1" x14ac:dyDescent="0.25">
      <c r="A74" s="114" t="s">
        <v>62</v>
      </c>
      <c r="B74" s="111">
        <f>SUM(B31:B33)</f>
        <v>0</v>
      </c>
      <c r="M74" s="107"/>
      <c r="N74" s="107"/>
    </row>
    <row r="75" spans="1:14" s="106" customFormat="1" x14ac:dyDescent="0.25">
      <c r="A75" s="97" t="s">
        <v>238</v>
      </c>
      <c r="B75" s="103">
        <f>B34</f>
        <v>0</v>
      </c>
      <c r="M75" s="107"/>
      <c r="N75" s="107"/>
    </row>
    <row r="76" spans="1:14" s="106" customFormat="1" x14ac:dyDescent="0.25">
      <c r="A76" s="114" t="s">
        <v>63</v>
      </c>
      <c r="B76" s="111">
        <f>B50</f>
        <v>0</v>
      </c>
      <c r="M76" s="107"/>
      <c r="N76" s="107"/>
    </row>
    <row r="77" spans="1:14" s="106" customFormat="1" x14ac:dyDescent="0.25">
      <c r="A77" s="102" t="s">
        <v>64</v>
      </c>
      <c r="B77" s="103">
        <f>SUM(B73:B76)</f>
        <v>0</v>
      </c>
      <c r="M77" s="107"/>
      <c r="N77" s="107"/>
    </row>
    <row r="78" spans="1:14" s="106" customFormat="1" x14ac:dyDescent="0.25">
      <c r="A78" s="76"/>
      <c r="B78" s="76"/>
      <c r="M78" s="107"/>
      <c r="N78" s="107"/>
    </row>
    <row r="79" spans="1:14" s="106" customFormat="1" x14ac:dyDescent="0.25">
      <c r="A79" s="140" t="s">
        <v>246</v>
      </c>
      <c r="B79" s="141"/>
      <c r="M79" s="107"/>
      <c r="N79" s="107"/>
    </row>
    <row r="80" spans="1:14" s="106" customFormat="1" x14ac:dyDescent="0.25">
      <c r="A80" s="97" t="s">
        <v>42</v>
      </c>
      <c r="B80" s="103">
        <f>(B4/52)*3</f>
        <v>0</v>
      </c>
      <c r="M80" s="107"/>
      <c r="N80" s="107"/>
    </row>
    <row r="81" spans="1:14" s="106" customFormat="1" x14ac:dyDescent="0.25">
      <c r="A81" s="95" t="s">
        <v>43</v>
      </c>
      <c r="B81" s="111">
        <f>(B4/2080)*96</f>
        <v>0</v>
      </c>
      <c r="M81" s="107"/>
      <c r="N81" s="107"/>
    </row>
    <row r="82" spans="1:14" s="106" customFormat="1" x14ac:dyDescent="0.25">
      <c r="A82" s="97" t="s">
        <v>247</v>
      </c>
      <c r="B82" s="103">
        <f>(B4/2080)*96</f>
        <v>0</v>
      </c>
      <c r="M82" s="107"/>
      <c r="N82" s="107"/>
    </row>
    <row r="84" spans="1:14" ht="95.25" customHeight="1" x14ac:dyDescent="0.25">
      <c r="A84" s="138" t="s">
        <v>251</v>
      </c>
      <c r="B84" s="138"/>
      <c r="C84" s="138"/>
      <c r="D84" s="138"/>
      <c r="E84" s="138"/>
      <c r="F84" s="138"/>
    </row>
    <row r="86" spans="1:14" x14ac:dyDescent="0.25">
      <c r="A86" s="76" t="s">
        <v>262</v>
      </c>
    </row>
    <row r="87" spans="1:14" x14ac:dyDescent="0.25">
      <c r="B87" s="115"/>
    </row>
    <row r="98" spans="1:6" x14ac:dyDescent="0.25">
      <c r="A98" s="116" t="s">
        <v>319</v>
      </c>
      <c r="E98" s="117" t="s">
        <v>261</v>
      </c>
      <c r="F98" s="118">
        <f ca="1">TODAY()</f>
        <v>44244</v>
      </c>
    </row>
  </sheetData>
  <mergeCells count="15">
    <mergeCell ref="A84:F84"/>
    <mergeCell ref="A1:F1"/>
    <mergeCell ref="A79:B79"/>
    <mergeCell ref="A45:D45"/>
    <mergeCell ref="B14:C14"/>
    <mergeCell ref="B16:C16"/>
    <mergeCell ref="A29:C29"/>
    <mergeCell ref="A72:B72"/>
    <mergeCell ref="B6:C6"/>
    <mergeCell ref="B8:C8"/>
    <mergeCell ref="B10:C10"/>
    <mergeCell ref="B12:C12"/>
    <mergeCell ref="B25:C25"/>
    <mergeCell ref="A2:F2"/>
    <mergeCell ref="B24:C24"/>
  </mergeCells>
  <hyperlinks>
    <hyperlink ref="A6" r:id="rId1" xr:uid="{00000000-0004-0000-0000-000000000000}"/>
    <hyperlink ref="A10" r:id="rId2" xr:uid="{00000000-0004-0000-0000-000001000000}"/>
    <hyperlink ref="A14" r:id="rId3" xr:uid="{00000000-0004-0000-0000-000002000000}"/>
    <hyperlink ref="A19" r:id="rId4" xr:uid="{00000000-0004-0000-0000-000003000000}"/>
    <hyperlink ref="A20" r:id="rId5" xr:uid="{00000000-0004-0000-0000-000004000000}"/>
    <hyperlink ref="A21" r:id="rId6" xr:uid="{00000000-0004-0000-0000-000005000000}"/>
    <hyperlink ref="A23" r:id="rId7" xr:uid="{00000000-0004-0000-0000-000006000000}"/>
    <hyperlink ref="A24" r:id="rId8" xr:uid="{00000000-0004-0000-0000-000007000000}"/>
    <hyperlink ref="A25" r:id="rId9" xr:uid="{00000000-0004-0000-0000-000008000000}"/>
    <hyperlink ref="A27" r:id="rId10" xr:uid="{00000000-0004-0000-0000-000009000000}"/>
    <hyperlink ref="A22" r:id="rId11" xr:uid="{E9983CC8-2B84-4753-AB93-8299524FA333}"/>
  </hyperlinks>
  <printOptions horizontalCentered="1"/>
  <pageMargins left="0.5" right="0.2" top="0.75" bottom="0.75" header="0.3" footer="0.3"/>
  <pageSetup scale="80" fitToHeight="2" orientation="portrait" r:id="rId12"/>
  <rowBreaks count="1" manualBreakCount="1">
    <brk id="50" max="16383" man="1"/>
  </rowBreaks>
  <ignoredErrors>
    <ignoredError sqref="N6:N16 N18:N21" unlockedFormula="1"/>
  </ignoredErrors>
  <drawing r:id="rId13"/>
  <legacyDrawing r:id="rId14"/>
  <mc:AlternateContent xmlns:mc="http://schemas.openxmlformats.org/markup-compatibility/2006">
    <mc:Choice Requires="x14">
      <controls>
        <mc:AlternateContent xmlns:mc="http://schemas.openxmlformats.org/markup-compatibility/2006">
          <mc:Choice Requires="x14">
            <control shapeId="1027" r:id="rId15" name="Drop Down 3">
              <controlPr defaultSize="0" autoLine="0" autoPict="0">
                <anchor moveWithCells="1">
                  <from>
                    <xdr:col>1</xdr:col>
                    <xdr:colOff>0</xdr:colOff>
                    <xdr:row>4</xdr:row>
                    <xdr:rowOff>180975</xdr:rowOff>
                  </from>
                  <to>
                    <xdr:col>3</xdr:col>
                    <xdr:colOff>0</xdr:colOff>
                    <xdr:row>6</xdr:row>
                    <xdr:rowOff>0</xdr:rowOff>
                  </to>
                </anchor>
              </controlPr>
            </control>
          </mc:Choice>
        </mc:AlternateContent>
        <mc:AlternateContent xmlns:mc="http://schemas.openxmlformats.org/markup-compatibility/2006">
          <mc:Choice Requires="x14">
            <control shapeId="1028" r:id="rId16" name="Drop Down 4">
              <controlPr defaultSize="0" autoLine="0" autoPict="0">
                <anchor moveWithCells="1">
                  <from>
                    <xdr:col>1</xdr:col>
                    <xdr:colOff>0</xdr:colOff>
                    <xdr:row>7</xdr:row>
                    <xdr:rowOff>0</xdr:rowOff>
                  </from>
                  <to>
                    <xdr:col>3</xdr:col>
                    <xdr:colOff>0</xdr:colOff>
                    <xdr:row>8</xdr:row>
                    <xdr:rowOff>9525</xdr:rowOff>
                  </to>
                </anchor>
              </controlPr>
            </control>
          </mc:Choice>
        </mc:AlternateContent>
        <mc:AlternateContent xmlns:mc="http://schemas.openxmlformats.org/markup-compatibility/2006">
          <mc:Choice Requires="x14">
            <control shapeId="1029" r:id="rId17" name="Drop Down 5">
              <controlPr defaultSize="0" autoLine="0" autoPict="0">
                <anchor moveWithCells="1">
                  <from>
                    <xdr:col>1</xdr:col>
                    <xdr:colOff>0</xdr:colOff>
                    <xdr:row>9</xdr:row>
                    <xdr:rowOff>0</xdr:rowOff>
                  </from>
                  <to>
                    <xdr:col>3</xdr:col>
                    <xdr:colOff>0</xdr:colOff>
                    <xdr:row>10</xdr:row>
                    <xdr:rowOff>9525</xdr:rowOff>
                  </to>
                </anchor>
              </controlPr>
            </control>
          </mc:Choice>
        </mc:AlternateContent>
        <mc:AlternateContent xmlns:mc="http://schemas.openxmlformats.org/markup-compatibility/2006">
          <mc:Choice Requires="x14">
            <control shapeId="1031" r:id="rId18" name="Drop Down 7">
              <controlPr defaultSize="0" autoLine="0" autoPict="0">
                <anchor moveWithCells="1">
                  <from>
                    <xdr:col>1</xdr:col>
                    <xdr:colOff>0</xdr:colOff>
                    <xdr:row>13</xdr:row>
                    <xdr:rowOff>9525</xdr:rowOff>
                  </from>
                  <to>
                    <xdr:col>3</xdr:col>
                    <xdr:colOff>0</xdr:colOff>
                    <xdr:row>14</xdr:row>
                    <xdr:rowOff>19050</xdr:rowOff>
                  </to>
                </anchor>
              </controlPr>
            </control>
          </mc:Choice>
        </mc:AlternateContent>
        <mc:AlternateContent xmlns:mc="http://schemas.openxmlformats.org/markup-compatibility/2006">
          <mc:Choice Requires="x14">
            <control shapeId="1034" r:id="rId19" name="Drop Down 10">
              <controlPr defaultSize="0" autoLine="0" autoPict="0">
                <anchor moveWithCells="1">
                  <from>
                    <xdr:col>1</xdr:col>
                    <xdr:colOff>0</xdr:colOff>
                    <xdr:row>11</xdr:row>
                    <xdr:rowOff>0</xdr:rowOff>
                  </from>
                  <to>
                    <xdr:col>3</xdr:col>
                    <xdr:colOff>0</xdr:colOff>
                    <xdr:row>12</xdr:row>
                    <xdr:rowOff>9525</xdr:rowOff>
                  </to>
                </anchor>
              </controlPr>
            </control>
          </mc:Choice>
        </mc:AlternateContent>
        <mc:AlternateContent xmlns:mc="http://schemas.openxmlformats.org/markup-compatibility/2006">
          <mc:Choice Requires="x14">
            <control shapeId="1035" r:id="rId20" name="Drop Down 11">
              <controlPr defaultSize="0" autoLine="0" autoPict="0">
                <anchor moveWithCells="1">
                  <from>
                    <xdr:col>1</xdr:col>
                    <xdr:colOff>0</xdr:colOff>
                    <xdr:row>14</xdr:row>
                    <xdr:rowOff>104775</xdr:rowOff>
                  </from>
                  <to>
                    <xdr:col>3</xdr:col>
                    <xdr:colOff>0</xdr:colOff>
                    <xdr:row>16</xdr:row>
                    <xdr:rowOff>0</xdr:rowOff>
                  </to>
                </anchor>
              </controlPr>
            </control>
          </mc:Choice>
        </mc:AlternateContent>
        <mc:AlternateContent xmlns:mc="http://schemas.openxmlformats.org/markup-compatibility/2006">
          <mc:Choice Requires="x14">
            <control shapeId="1036" r:id="rId21" name="Drop Down 12">
              <controlPr defaultSize="0" autoLine="0" autoPict="0">
                <anchor moveWithCells="1">
                  <from>
                    <xdr:col>1</xdr:col>
                    <xdr:colOff>0</xdr:colOff>
                    <xdr:row>16</xdr:row>
                    <xdr:rowOff>171450</xdr:rowOff>
                  </from>
                  <to>
                    <xdr:col>2</xdr:col>
                    <xdr:colOff>0</xdr:colOff>
                    <xdr:row>17</xdr:row>
                    <xdr:rowOff>180975</xdr:rowOff>
                  </to>
                </anchor>
              </controlPr>
            </control>
          </mc:Choice>
        </mc:AlternateContent>
        <mc:AlternateContent xmlns:mc="http://schemas.openxmlformats.org/markup-compatibility/2006">
          <mc:Choice Requires="x14">
            <control shapeId="1037" r:id="rId22" name="Drop Down 13">
              <controlPr defaultSize="0" autoLine="0" autoPict="0" altText="Select Multiplier,1,2,3,4,5">
                <anchor moveWithCells="1">
                  <from>
                    <xdr:col>1</xdr:col>
                    <xdr:colOff>0</xdr:colOff>
                    <xdr:row>17</xdr:row>
                    <xdr:rowOff>180975</xdr:rowOff>
                  </from>
                  <to>
                    <xdr:col>2</xdr:col>
                    <xdr:colOff>0</xdr:colOff>
                    <xdr:row>19</xdr:row>
                    <xdr:rowOff>0</xdr:rowOff>
                  </to>
                </anchor>
              </controlPr>
            </control>
          </mc:Choice>
        </mc:AlternateContent>
        <mc:AlternateContent xmlns:mc="http://schemas.openxmlformats.org/markup-compatibility/2006">
          <mc:Choice Requires="x14">
            <control shapeId="1038" r:id="rId23" name="Drop Down 14">
              <controlPr defaultSize="0" autoLine="0" autoPict="0">
                <anchor moveWithCells="1">
                  <from>
                    <xdr:col>1</xdr:col>
                    <xdr:colOff>0</xdr:colOff>
                    <xdr:row>20</xdr:row>
                    <xdr:rowOff>0</xdr:rowOff>
                  </from>
                  <to>
                    <xdr:col>2</xdr:col>
                    <xdr:colOff>0</xdr:colOff>
                    <xdr:row>21</xdr:row>
                    <xdr:rowOff>9525</xdr:rowOff>
                  </to>
                </anchor>
              </controlPr>
            </control>
          </mc:Choice>
        </mc:AlternateContent>
        <mc:AlternateContent xmlns:mc="http://schemas.openxmlformats.org/markup-compatibility/2006">
          <mc:Choice Requires="x14">
            <control shapeId="1039" r:id="rId24" name="Drop Down 15">
              <controlPr defaultSize="0" autoLine="0" autoPict="0" altText="Select Multiplier,1,2,3,4,5">
                <anchor moveWithCells="1">
                  <from>
                    <xdr:col>1</xdr:col>
                    <xdr:colOff>0</xdr:colOff>
                    <xdr:row>22</xdr:row>
                    <xdr:rowOff>9525</xdr:rowOff>
                  </from>
                  <to>
                    <xdr:col>2</xdr:col>
                    <xdr:colOff>0</xdr:colOff>
                    <xdr:row>23</xdr:row>
                    <xdr:rowOff>19050</xdr:rowOff>
                  </to>
                </anchor>
              </controlPr>
            </control>
          </mc:Choice>
        </mc:AlternateContent>
        <mc:AlternateContent xmlns:mc="http://schemas.openxmlformats.org/markup-compatibility/2006">
          <mc:Choice Requires="x14">
            <control shapeId="1042" r:id="rId25" name="Drop Down 18">
              <controlPr defaultSize="0" autoLine="0" autoPict="0">
                <anchor moveWithCells="1">
                  <from>
                    <xdr:col>1</xdr:col>
                    <xdr:colOff>0</xdr:colOff>
                    <xdr:row>23</xdr:row>
                    <xdr:rowOff>19050</xdr:rowOff>
                  </from>
                  <to>
                    <xdr:col>3</xdr:col>
                    <xdr:colOff>0</xdr:colOff>
                    <xdr:row>24</xdr:row>
                    <xdr:rowOff>28575</xdr:rowOff>
                  </to>
                </anchor>
              </controlPr>
            </control>
          </mc:Choice>
        </mc:AlternateContent>
        <mc:AlternateContent xmlns:mc="http://schemas.openxmlformats.org/markup-compatibility/2006">
          <mc:Choice Requires="x14">
            <control shapeId="1043" r:id="rId26" name="Drop Down 19">
              <controlPr defaultSize="0" autoLine="0" autoPict="0">
                <anchor moveWithCells="1">
                  <from>
                    <xdr:col>1</xdr:col>
                    <xdr:colOff>0</xdr:colOff>
                    <xdr:row>24</xdr:row>
                    <xdr:rowOff>19050</xdr:rowOff>
                  </from>
                  <to>
                    <xdr:col>3</xdr:col>
                    <xdr:colOff>0</xdr:colOff>
                    <xdr:row>25</xdr:row>
                    <xdr:rowOff>28575</xdr:rowOff>
                  </to>
                </anchor>
              </controlPr>
            </control>
          </mc:Choice>
        </mc:AlternateContent>
        <mc:AlternateContent xmlns:mc="http://schemas.openxmlformats.org/markup-compatibility/2006">
          <mc:Choice Requires="x14">
            <control shapeId="1044" r:id="rId27" name="Drop Down 20">
              <controlPr defaultSize="0" autoLine="0" autoPict="0">
                <anchor moveWithCells="1">
                  <from>
                    <xdr:col>2</xdr:col>
                    <xdr:colOff>0</xdr:colOff>
                    <xdr:row>22</xdr:row>
                    <xdr:rowOff>9525</xdr:rowOff>
                  </from>
                  <to>
                    <xdr:col>3</xdr:col>
                    <xdr:colOff>0</xdr:colOff>
                    <xdr:row>23</xdr:row>
                    <xdr:rowOff>9525</xdr:rowOff>
                  </to>
                </anchor>
              </controlPr>
            </control>
          </mc:Choice>
        </mc:AlternateContent>
        <mc:AlternateContent xmlns:mc="http://schemas.openxmlformats.org/markup-compatibility/2006">
          <mc:Choice Requires="x14">
            <control shapeId="1046" r:id="rId28" name="Drop Down 22">
              <controlPr defaultSize="0" autoLine="0" autoPict="0">
                <anchor moveWithCells="1">
                  <from>
                    <xdr:col>1</xdr:col>
                    <xdr:colOff>0</xdr:colOff>
                    <xdr:row>18</xdr:row>
                    <xdr:rowOff>180975</xdr:rowOff>
                  </from>
                  <to>
                    <xdr:col>2</xdr:col>
                    <xdr:colOff>0</xdr:colOff>
                    <xdr:row>20</xdr:row>
                    <xdr:rowOff>0</xdr:rowOff>
                  </to>
                </anchor>
              </controlPr>
            </control>
          </mc:Choice>
        </mc:AlternateContent>
        <mc:AlternateContent xmlns:mc="http://schemas.openxmlformats.org/markup-compatibility/2006">
          <mc:Choice Requires="x14">
            <control shapeId="1048" r:id="rId29" name="Drop Down 24">
              <controlPr defaultSize="0" autoLine="0" autoPict="0">
                <anchor moveWithCells="1">
                  <from>
                    <xdr:col>1</xdr:col>
                    <xdr:colOff>0</xdr:colOff>
                    <xdr:row>21</xdr:row>
                    <xdr:rowOff>0</xdr:rowOff>
                  </from>
                  <to>
                    <xdr:col>2</xdr:col>
                    <xdr:colOff>0</xdr:colOff>
                    <xdr:row>22</xdr:row>
                    <xdr:rowOff>9525</xdr:rowOff>
                  </to>
                </anchor>
              </controlPr>
            </control>
          </mc:Choice>
        </mc:AlternateContent>
        <mc:AlternateContent xmlns:mc="http://schemas.openxmlformats.org/markup-compatibility/2006">
          <mc:Choice Requires="x14">
            <control shapeId="1049" r:id="rId30" name="Drop Down 25">
              <controlPr defaultSize="0" autoLine="0" autoPict="0">
                <anchor moveWithCells="1">
                  <from>
                    <xdr:col>2</xdr:col>
                    <xdr:colOff>0</xdr:colOff>
                    <xdr:row>20</xdr:row>
                    <xdr:rowOff>0</xdr:rowOff>
                  </from>
                  <to>
                    <xdr:col>3</xdr:col>
                    <xdr:colOff>0</xdr:colOff>
                    <xdr:row>21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0"/>
  <sheetViews>
    <sheetView topLeftCell="A90" workbookViewId="0">
      <selection activeCell="A111" sqref="A111:A130"/>
    </sheetView>
  </sheetViews>
  <sheetFormatPr defaultRowHeight="15" x14ac:dyDescent="0.25"/>
  <cols>
    <col min="1" max="1" width="43.5703125" bestFit="1" customWidth="1"/>
  </cols>
  <sheetData>
    <row r="1" spans="1:3" x14ac:dyDescent="0.25">
      <c r="A1" t="s">
        <v>27</v>
      </c>
      <c r="C1" t="s">
        <v>263</v>
      </c>
    </row>
    <row r="2" spans="1:3" x14ac:dyDescent="0.25">
      <c r="A2" s="2" t="s">
        <v>254</v>
      </c>
    </row>
    <row r="3" spans="1:3" x14ac:dyDescent="0.25">
      <c r="A3" s="2" t="s">
        <v>240</v>
      </c>
    </row>
    <row r="4" spans="1:3" x14ac:dyDescent="0.25">
      <c r="A4" s="120" t="s">
        <v>264</v>
      </c>
    </row>
    <row r="5" spans="1:3" x14ac:dyDescent="0.25">
      <c r="A5" s="120" t="s">
        <v>265</v>
      </c>
    </row>
    <row r="6" spans="1:3" x14ac:dyDescent="0.25">
      <c r="A6" s="2" t="s">
        <v>4</v>
      </c>
    </row>
    <row r="7" spans="1:3" x14ac:dyDescent="0.25">
      <c r="A7" s="2" t="s">
        <v>0</v>
      </c>
    </row>
    <row r="8" spans="1:3" x14ac:dyDescent="0.25">
      <c r="A8" s="2" t="s">
        <v>3</v>
      </c>
    </row>
    <row r="9" spans="1:3" x14ac:dyDescent="0.25">
      <c r="A9" s="2" t="s">
        <v>1</v>
      </c>
    </row>
    <row r="10" spans="1:3" x14ac:dyDescent="0.25">
      <c r="A10" s="2" t="s">
        <v>2</v>
      </c>
    </row>
    <row r="11" spans="1:3" x14ac:dyDescent="0.25">
      <c r="A11" s="2" t="s">
        <v>255</v>
      </c>
    </row>
    <row r="12" spans="1:3" x14ac:dyDescent="0.25">
      <c r="A12" s="2" t="s">
        <v>240</v>
      </c>
    </row>
    <row r="13" spans="1:3" x14ac:dyDescent="0.25">
      <c r="A13" s="2" t="s">
        <v>5</v>
      </c>
    </row>
    <row r="14" spans="1:3" x14ac:dyDescent="0.25">
      <c r="A14" s="2" t="s">
        <v>15</v>
      </c>
    </row>
    <row r="15" spans="1:3" x14ac:dyDescent="0.25">
      <c r="A15" s="2" t="s">
        <v>256</v>
      </c>
    </row>
    <row r="16" spans="1:3" x14ac:dyDescent="0.25">
      <c r="A16" s="2" t="s">
        <v>240</v>
      </c>
    </row>
    <row r="17" spans="1:1" x14ac:dyDescent="0.25">
      <c r="A17" s="2" t="s">
        <v>7</v>
      </c>
    </row>
    <row r="18" spans="1:1" x14ac:dyDescent="0.25">
      <c r="A18" s="2" t="s">
        <v>8</v>
      </c>
    </row>
    <row r="21" spans="1:1" x14ac:dyDescent="0.25">
      <c r="A21" s="2" t="s">
        <v>36</v>
      </c>
    </row>
    <row r="22" spans="1:1" x14ac:dyDescent="0.25">
      <c r="A22" t="s">
        <v>70</v>
      </c>
    </row>
    <row r="23" spans="1:1" x14ac:dyDescent="0.25">
      <c r="A23" t="s">
        <v>11</v>
      </c>
    </row>
    <row r="24" spans="1:1" x14ac:dyDescent="0.25">
      <c r="A24" t="s">
        <v>12</v>
      </c>
    </row>
    <row r="25" spans="1:1" x14ac:dyDescent="0.25">
      <c r="A25" t="s">
        <v>13</v>
      </c>
    </row>
    <row r="26" spans="1:1" x14ac:dyDescent="0.25">
      <c r="A26" t="s">
        <v>14</v>
      </c>
    </row>
    <row r="28" spans="1:1" x14ac:dyDescent="0.25">
      <c r="A28" t="s">
        <v>65</v>
      </c>
    </row>
    <row r="29" spans="1:1" x14ac:dyDescent="0.25">
      <c r="A29" s="1" t="s">
        <v>197</v>
      </c>
    </row>
    <row r="30" spans="1:1" x14ac:dyDescent="0.25">
      <c r="A30" s="1" t="s">
        <v>16</v>
      </c>
    </row>
    <row r="31" spans="1:1" x14ac:dyDescent="0.25">
      <c r="A31" s="1" t="s">
        <v>17</v>
      </c>
    </row>
    <row r="32" spans="1:1" x14ac:dyDescent="0.25">
      <c r="A32" t="s">
        <v>18</v>
      </c>
    </row>
    <row r="33" spans="1:1" x14ac:dyDescent="0.25">
      <c r="A33" s="1" t="s">
        <v>19</v>
      </c>
    </row>
    <row r="34" spans="1:1" x14ac:dyDescent="0.25">
      <c r="A34" t="s">
        <v>20</v>
      </c>
    </row>
    <row r="35" spans="1:1" x14ac:dyDescent="0.25">
      <c r="A35" s="1" t="s">
        <v>21</v>
      </c>
    </row>
    <row r="36" spans="1:1" x14ac:dyDescent="0.25">
      <c r="A36" t="s">
        <v>22</v>
      </c>
    </row>
    <row r="37" spans="1:1" x14ac:dyDescent="0.25">
      <c r="A37" s="1" t="s">
        <v>23</v>
      </c>
    </row>
    <row r="38" spans="1:1" x14ac:dyDescent="0.25">
      <c r="A38" t="s">
        <v>24</v>
      </c>
    </row>
    <row r="39" spans="1:1" x14ac:dyDescent="0.25">
      <c r="A39" s="1" t="s">
        <v>25</v>
      </c>
    </row>
    <row r="40" spans="1:1" x14ac:dyDescent="0.25">
      <c r="A40" t="s">
        <v>26</v>
      </c>
    </row>
    <row r="42" spans="1:1" x14ac:dyDescent="0.25">
      <c r="A42" t="s">
        <v>66</v>
      </c>
    </row>
    <row r="43" spans="1:1" x14ac:dyDescent="0.25">
      <c r="A43" t="s">
        <v>51</v>
      </c>
    </row>
    <row r="44" spans="1:1" x14ac:dyDescent="0.25">
      <c r="A44" s="1" t="s">
        <v>52</v>
      </c>
    </row>
    <row r="45" spans="1:1" x14ac:dyDescent="0.25">
      <c r="A45" s="1" t="s">
        <v>53</v>
      </c>
    </row>
    <row r="47" spans="1:1" x14ac:dyDescent="0.25">
      <c r="A47" t="s">
        <v>73</v>
      </c>
    </row>
    <row r="48" spans="1:1" x14ac:dyDescent="0.25">
      <c r="A48" t="s">
        <v>70</v>
      </c>
    </row>
    <row r="49" spans="1:1" x14ac:dyDescent="0.25">
      <c r="A49" t="s">
        <v>11</v>
      </c>
    </row>
    <row r="50" spans="1:1" x14ac:dyDescent="0.25">
      <c r="A50" t="s">
        <v>71</v>
      </c>
    </row>
    <row r="51" spans="1:1" x14ac:dyDescent="0.25">
      <c r="A51" t="s">
        <v>72</v>
      </c>
    </row>
    <row r="53" spans="1:1" x14ac:dyDescent="0.25">
      <c r="A53" t="s">
        <v>74</v>
      </c>
    </row>
    <row r="54" spans="1:1" x14ac:dyDescent="0.25">
      <c r="A54" s="4" t="s">
        <v>250</v>
      </c>
    </row>
    <row r="55" spans="1:1" x14ac:dyDescent="0.25">
      <c r="A55" s="4">
        <v>10000</v>
      </c>
    </row>
    <row r="56" spans="1:1" x14ac:dyDescent="0.25">
      <c r="A56" s="4">
        <v>20000</v>
      </c>
    </row>
    <row r="57" spans="1:1" x14ac:dyDescent="0.25">
      <c r="A57" s="4">
        <v>30000</v>
      </c>
    </row>
    <row r="58" spans="1:1" x14ac:dyDescent="0.25">
      <c r="A58" s="4">
        <v>40000</v>
      </c>
    </row>
    <row r="59" spans="1:1" x14ac:dyDescent="0.25">
      <c r="A59" s="4">
        <v>50000</v>
      </c>
    </row>
    <row r="60" spans="1:1" x14ac:dyDescent="0.25">
      <c r="A60" s="4">
        <v>60000</v>
      </c>
    </row>
    <row r="61" spans="1:1" x14ac:dyDescent="0.25">
      <c r="A61" s="4">
        <v>70000</v>
      </c>
    </row>
    <row r="62" spans="1:1" x14ac:dyDescent="0.25">
      <c r="A62" s="4">
        <v>80000</v>
      </c>
    </row>
    <row r="63" spans="1:1" x14ac:dyDescent="0.25">
      <c r="A63" s="4">
        <v>90000</v>
      </c>
    </row>
    <row r="64" spans="1:1" x14ac:dyDescent="0.25">
      <c r="A64" s="4">
        <v>100000</v>
      </c>
    </row>
    <row r="65" spans="1:1" x14ac:dyDescent="0.25">
      <c r="A65" s="4">
        <v>125000</v>
      </c>
    </row>
    <row r="66" spans="1:1" x14ac:dyDescent="0.25">
      <c r="A66" s="4">
        <v>150000</v>
      </c>
    </row>
    <row r="67" spans="1:1" x14ac:dyDescent="0.25">
      <c r="A67" s="4">
        <v>175000</v>
      </c>
    </row>
    <row r="68" spans="1:1" x14ac:dyDescent="0.25">
      <c r="A68" s="4">
        <v>200000</v>
      </c>
    </row>
    <row r="69" spans="1:1" x14ac:dyDescent="0.25">
      <c r="A69" s="4">
        <v>300000</v>
      </c>
    </row>
    <row r="70" spans="1:1" x14ac:dyDescent="0.25">
      <c r="A70" s="4">
        <v>400000</v>
      </c>
    </row>
    <row r="71" spans="1:1" x14ac:dyDescent="0.25">
      <c r="A71" s="4">
        <v>500000</v>
      </c>
    </row>
    <row r="74" spans="1:1" x14ac:dyDescent="0.25">
      <c r="A74" t="s">
        <v>257</v>
      </c>
    </row>
    <row r="75" spans="1:1" x14ac:dyDescent="0.25">
      <c r="A75" s="72">
        <v>7</v>
      </c>
    </row>
    <row r="76" spans="1:1" x14ac:dyDescent="0.25">
      <c r="A76" s="72">
        <v>30</v>
      </c>
    </row>
    <row r="77" spans="1:1" x14ac:dyDescent="0.25">
      <c r="A77" s="2">
        <v>90</v>
      </c>
    </row>
    <row r="78" spans="1:1" x14ac:dyDescent="0.25">
      <c r="A78" s="2">
        <v>180</v>
      </c>
    </row>
    <row r="81" spans="1:1" x14ac:dyDescent="0.25">
      <c r="A81" t="s">
        <v>198</v>
      </c>
    </row>
    <row r="82" spans="1:1" x14ac:dyDescent="0.25">
      <c r="A82" t="s">
        <v>70</v>
      </c>
    </row>
    <row r="83" spans="1:1" x14ac:dyDescent="0.25">
      <c r="A83" t="s">
        <v>292</v>
      </c>
    </row>
    <row r="86" spans="1:1" x14ac:dyDescent="0.25">
      <c r="A86" t="s">
        <v>235</v>
      </c>
    </row>
    <row r="87" spans="1:1" x14ac:dyDescent="0.25">
      <c r="A87" s="2" t="s">
        <v>70</v>
      </c>
    </row>
    <row r="88" spans="1:1" x14ac:dyDescent="0.25">
      <c r="A88" t="s">
        <v>11</v>
      </c>
    </row>
    <row r="89" spans="1:1" x14ac:dyDescent="0.25">
      <c r="A89" t="s">
        <v>237</v>
      </c>
    </row>
    <row r="90" spans="1:1" x14ac:dyDescent="0.25">
      <c r="A90" t="s">
        <v>13</v>
      </c>
    </row>
    <row r="91" spans="1:1" x14ac:dyDescent="0.25">
      <c r="A91" t="s">
        <v>14</v>
      </c>
    </row>
    <row r="94" spans="1:1" x14ac:dyDescent="0.25">
      <c r="A94" t="s">
        <v>249</v>
      </c>
    </row>
    <row r="95" spans="1:1" x14ac:dyDescent="0.25">
      <c r="A95" s="2">
        <v>1</v>
      </c>
    </row>
    <row r="96" spans="1:1" x14ac:dyDescent="0.25">
      <c r="A96" s="2">
        <v>2</v>
      </c>
    </row>
    <row r="97" spans="1:1" x14ac:dyDescent="0.25">
      <c r="A97" s="2">
        <v>3</v>
      </c>
    </row>
    <row r="98" spans="1:1" x14ac:dyDescent="0.25">
      <c r="A98" s="2">
        <v>4</v>
      </c>
    </row>
    <row r="99" spans="1:1" x14ac:dyDescent="0.25">
      <c r="A99" s="2">
        <v>5</v>
      </c>
    </row>
    <row r="101" spans="1:1" x14ac:dyDescent="0.25">
      <c r="A101" s="2" t="s">
        <v>199</v>
      </c>
    </row>
    <row r="102" spans="1:1" x14ac:dyDescent="0.25">
      <c r="A102" s="2">
        <v>0</v>
      </c>
    </row>
    <row r="103" spans="1:1" x14ac:dyDescent="0.25">
      <c r="A103" s="2">
        <v>5000</v>
      </c>
    </row>
    <row r="105" spans="1:1" x14ac:dyDescent="0.25">
      <c r="A105" s="2" t="s">
        <v>291</v>
      </c>
    </row>
    <row r="106" spans="1:1" x14ac:dyDescent="0.25">
      <c r="A106" s="2">
        <v>0</v>
      </c>
    </row>
    <row r="107" spans="1:1" x14ac:dyDescent="0.25">
      <c r="A107" s="2">
        <v>10000</v>
      </c>
    </row>
    <row r="109" spans="1:1" x14ac:dyDescent="0.25">
      <c r="A109" t="s">
        <v>310</v>
      </c>
    </row>
    <row r="110" spans="1:1" x14ac:dyDescent="0.25">
      <c r="A110" s="4" t="s">
        <v>250</v>
      </c>
    </row>
    <row r="111" spans="1:1" x14ac:dyDescent="0.25">
      <c r="A111" s="4">
        <v>10000</v>
      </c>
    </row>
    <row r="112" spans="1:1" x14ac:dyDescent="0.25">
      <c r="A112" s="4">
        <v>20000</v>
      </c>
    </row>
    <row r="113" spans="1:1" x14ac:dyDescent="0.25">
      <c r="A113" s="4">
        <v>30000</v>
      </c>
    </row>
    <row r="114" spans="1:1" x14ac:dyDescent="0.25">
      <c r="A114" s="4">
        <v>40000</v>
      </c>
    </row>
    <row r="115" spans="1:1" x14ac:dyDescent="0.25">
      <c r="A115" s="4">
        <v>50000</v>
      </c>
    </row>
    <row r="116" spans="1:1" x14ac:dyDescent="0.25">
      <c r="A116" s="4">
        <v>60000</v>
      </c>
    </row>
    <row r="117" spans="1:1" x14ac:dyDescent="0.25">
      <c r="A117" s="4">
        <v>70000</v>
      </c>
    </row>
    <row r="118" spans="1:1" x14ac:dyDescent="0.25">
      <c r="A118" s="4">
        <v>80000</v>
      </c>
    </row>
    <row r="119" spans="1:1" x14ac:dyDescent="0.25">
      <c r="A119" s="4">
        <v>90000</v>
      </c>
    </row>
    <row r="120" spans="1:1" x14ac:dyDescent="0.25">
      <c r="A120" s="4">
        <v>100000</v>
      </c>
    </row>
    <row r="121" spans="1:1" x14ac:dyDescent="0.25">
      <c r="A121" s="4">
        <v>110000</v>
      </c>
    </row>
    <row r="122" spans="1:1" x14ac:dyDescent="0.25">
      <c r="A122" s="4">
        <v>120000</v>
      </c>
    </row>
    <row r="123" spans="1:1" x14ac:dyDescent="0.25">
      <c r="A123" s="4">
        <v>130000</v>
      </c>
    </row>
    <row r="124" spans="1:1" x14ac:dyDescent="0.25">
      <c r="A124" s="4">
        <v>140000</v>
      </c>
    </row>
    <row r="125" spans="1:1" x14ac:dyDescent="0.25">
      <c r="A125" s="4">
        <v>150000</v>
      </c>
    </row>
    <row r="126" spans="1:1" x14ac:dyDescent="0.25">
      <c r="A126" s="4">
        <v>160000</v>
      </c>
    </row>
    <row r="127" spans="1:1" x14ac:dyDescent="0.25">
      <c r="A127" s="4">
        <v>170000</v>
      </c>
    </row>
    <row r="128" spans="1:1" x14ac:dyDescent="0.25">
      <c r="A128" s="4">
        <v>180000</v>
      </c>
    </row>
    <row r="129" spans="1:1" x14ac:dyDescent="0.25">
      <c r="A129" s="4">
        <v>190000</v>
      </c>
    </row>
    <row r="130" spans="1:1" x14ac:dyDescent="0.25">
      <c r="A130" s="4">
        <v>200000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5"/>
  <sheetViews>
    <sheetView workbookViewId="0"/>
  </sheetViews>
  <sheetFormatPr defaultRowHeight="15" x14ac:dyDescent="0.25"/>
  <cols>
    <col min="1" max="1" width="62.28515625" customWidth="1"/>
    <col min="2" max="2" width="44.28515625" customWidth="1"/>
    <col min="3" max="3" width="31" customWidth="1"/>
    <col min="5" max="5" width="22.42578125" customWidth="1"/>
    <col min="6" max="6" width="21.42578125" customWidth="1"/>
  </cols>
  <sheetData>
    <row r="1" spans="1:7" x14ac:dyDescent="0.25">
      <c r="A1" t="s">
        <v>41</v>
      </c>
      <c r="B1" t="s">
        <v>9</v>
      </c>
      <c r="C1" t="s">
        <v>10</v>
      </c>
      <c r="D1" t="s">
        <v>77</v>
      </c>
      <c r="E1" t="s">
        <v>242</v>
      </c>
      <c r="F1" t="s">
        <v>241</v>
      </c>
    </row>
    <row r="2" spans="1:7" x14ac:dyDescent="0.25">
      <c r="A2" t="str">
        <f>B2&amp;C2</f>
        <v>Kaiser Permanente HDHPEmployee Only</v>
      </c>
      <c r="B2" s="135" t="s">
        <v>264</v>
      </c>
      <c r="C2" t="s">
        <v>11</v>
      </c>
      <c r="D2" t="s">
        <v>276</v>
      </c>
      <c r="E2" s="1">
        <f>VLOOKUP($D2,'Sheet 1'!$A$2:$O$62,15,FALSE)</f>
        <v>475.77</v>
      </c>
      <c r="F2" s="1">
        <f>VLOOKUP($D2,'Sheet 1'!$A$2:$O$62,14,FALSE)</f>
        <v>84</v>
      </c>
      <c r="G2" s="137"/>
    </row>
    <row r="3" spans="1:7" x14ac:dyDescent="0.25">
      <c r="A3" t="str">
        <f t="shared" ref="A3:A45" si="0">B3&amp;C3</f>
        <v>Kaiser Permanente HDHPEmployee &amp; Adult</v>
      </c>
      <c r="B3" s="135" t="s">
        <v>264</v>
      </c>
      <c r="C3" t="s">
        <v>12</v>
      </c>
      <c r="D3" t="s">
        <v>277</v>
      </c>
      <c r="E3" s="1">
        <f>VLOOKUP($D3,'Sheet 1'!$A$2:$O$62,15,FALSE)</f>
        <v>986.73</v>
      </c>
      <c r="F3" s="1">
        <f>VLOOKUP($D3,'Sheet 1'!$A$2:$O$62,14,FALSE)</f>
        <v>192</v>
      </c>
      <c r="G3" s="137"/>
    </row>
    <row r="4" spans="1:7" x14ac:dyDescent="0.25">
      <c r="A4" t="str">
        <f t="shared" si="0"/>
        <v>Kaiser Permanente HDHPEmployee &amp; Child(ren)</v>
      </c>
      <c r="B4" s="135" t="s">
        <v>264</v>
      </c>
      <c r="C4" t="s">
        <v>13</v>
      </c>
      <c r="D4" t="s">
        <v>278</v>
      </c>
      <c r="E4" s="1">
        <f>VLOOKUP($D4,'Sheet 1'!$A$2:$O$62,15,FALSE)</f>
        <v>845.91</v>
      </c>
      <c r="F4" s="1">
        <f>VLOOKUP($D4,'Sheet 1'!$A$2:$O$62,14,FALSE)</f>
        <v>164</v>
      </c>
      <c r="G4" s="137"/>
    </row>
    <row r="5" spans="1:7" x14ac:dyDescent="0.25">
      <c r="A5" t="str">
        <f t="shared" si="0"/>
        <v>Kaiser Permanente HDHPEmployee &amp; Family</v>
      </c>
      <c r="B5" s="135" t="s">
        <v>264</v>
      </c>
      <c r="C5" t="s">
        <v>14</v>
      </c>
      <c r="D5" t="s">
        <v>279</v>
      </c>
      <c r="E5" s="1">
        <f>VLOOKUP($D5,'Sheet 1'!$A$2:$O$62,15,FALSE)</f>
        <v>1360.89</v>
      </c>
      <c r="F5" s="1">
        <f>VLOOKUP($D5,'Sheet 1'!$A$2:$O$62,14,FALSE)</f>
        <v>268</v>
      </c>
      <c r="G5" s="137"/>
    </row>
    <row r="6" spans="1:7" x14ac:dyDescent="0.25">
      <c r="A6" t="str">
        <f>B6&amp;C6</f>
        <v>Kaiser Permanente HMOEmployee Only</v>
      </c>
      <c r="B6" s="135" t="s">
        <v>265</v>
      </c>
      <c r="C6" t="s">
        <v>11</v>
      </c>
      <c r="D6" t="s">
        <v>78</v>
      </c>
      <c r="E6" s="1">
        <f>VLOOKUP($D6,'Sheet 1'!$A$2:$O$62,15,FALSE)</f>
        <v>584.41999999999996</v>
      </c>
      <c r="F6" s="1">
        <f>VLOOKUP($D6,'Sheet 1'!$A$2:$O$62,14,FALSE)</f>
        <v>92</v>
      </c>
      <c r="G6" s="137"/>
    </row>
    <row r="7" spans="1:7" x14ac:dyDescent="0.25">
      <c r="A7" t="str">
        <f t="shared" ref="A7:A9" si="1">B7&amp;C7</f>
        <v>Kaiser Permanente HMOEmployee &amp; Adult</v>
      </c>
      <c r="B7" s="135" t="s">
        <v>265</v>
      </c>
      <c r="C7" t="s">
        <v>12</v>
      </c>
      <c r="D7" t="s">
        <v>79</v>
      </c>
      <c r="E7" s="1">
        <f>VLOOKUP($D7,'Sheet 1'!$A$2:$O$62,15,FALSE)</f>
        <v>1212.46</v>
      </c>
      <c r="F7" s="1">
        <f>VLOOKUP($D7,'Sheet 1'!$A$2:$O$62,14,FALSE)</f>
        <v>208</v>
      </c>
      <c r="G7" s="137"/>
    </row>
    <row r="8" spans="1:7" x14ac:dyDescent="0.25">
      <c r="A8" t="str">
        <f t="shared" si="1"/>
        <v>Kaiser Permanente HMOEmployee &amp; Child(ren)</v>
      </c>
      <c r="B8" s="135" t="s">
        <v>265</v>
      </c>
      <c r="C8" t="s">
        <v>13</v>
      </c>
      <c r="D8" t="s">
        <v>80</v>
      </c>
      <c r="E8" s="1">
        <f>VLOOKUP($D8,'Sheet 1'!$A$2:$O$62,15,FALSE)</f>
        <v>1037.54</v>
      </c>
      <c r="F8" s="1">
        <f>VLOOKUP($D8,'Sheet 1'!$A$2:$O$62,14,FALSE)</f>
        <v>180</v>
      </c>
      <c r="G8" s="137"/>
    </row>
    <row r="9" spans="1:7" x14ac:dyDescent="0.25">
      <c r="A9" t="str">
        <f t="shared" si="1"/>
        <v>Kaiser Permanente HMOEmployee &amp; Family</v>
      </c>
      <c r="B9" s="135" t="s">
        <v>265</v>
      </c>
      <c r="C9" t="s">
        <v>14</v>
      </c>
      <c r="D9" t="s">
        <v>81</v>
      </c>
      <c r="E9" s="1">
        <f>VLOOKUP($D9,'Sheet 1'!$A$2:$O$62,15,FALSE)</f>
        <v>1673.56</v>
      </c>
      <c r="F9" s="1">
        <f>VLOOKUP($D9,'Sheet 1'!$A$2:$O$62,14,FALSE)</f>
        <v>288</v>
      </c>
      <c r="G9" s="137"/>
    </row>
    <row r="10" spans="1:7" x14ac:dyDescent="0.25">
      <c r="A10" t="str">
        <f t="shared" si="0"/>
        <v>Anthem Blue Cross EPOEmployee Only</v>
      </c>
      <c r="B10" t="s">
        <v>0</v>
      </c>
      <c r="C10" t="s">
        <v>11</v>
      </c>
      <c r="D10" t="s">
        <v>90</v>
      </c>
      <c r="E10" s="1">
        <f>VLOOKUP($D10,'Sheet 1'!$A$2:$O$62,15,FALSE)</f>
        <v>867.3</v>
      </c>
      <c r="F10" s="1">
        <f>VLOOKUP($D10,'Sheet 1'!$A$2:$O$62,14,FALSE)</f>
        <v>396</v>
      </c>
      <c r="G10" s="137"/>
    </row>
    <row r="11" spans="1:7" x14ac:dyDescent="0.25">
      <c r="A11" t="str">
        <f t="shared" si="0"/>
        <v>Anthem Blue Cross EPOEmployee &amp; Adult</v>
      </c>
      <c r="B11" t="s">
        <v>0</v>
      </c>
      <c r="C11" t="s">
        <v>12</v>
      </c>
      <c r="D11" t="s">
        <v>91</v>
      </c>
      <c r="E11" s="1">
        <f>VLOOKUP($D11,'Sheet 1'!$A$2:$O$62,15,FALSE)</f>
        <v>1784.97</v>
      </c>
      <c r="F11" s="1">
        <f>VLOOKUP($D11,'Sheet 1'!$A$2:$O$62,14,FALSE)</f>
        <v>868</v>
      </c>
      <c r="G11" s="137"/>
    </row>
    <row r="12" spans="1:7" x14ac:dyDescent="0.25">
      <c r="A12" t="str">
        <f t="shared" si="0"/>
        <v>Anthem Blue Cross EPOEmployee &amp; Child(ren)</v>
      </c>
      <c r="B12" t="s">
        <v>0</v>
      </c>
      <c r="C12" t="s">
        <v>13</v>
      </c>
      <c r="D12" t="s">
        <v>93</v>
      </c>
      <c r="E12" s="1">
        <f>VLOOKUP($D12,'Sheet 1'!$A$2:$O$62,15,FALSE)</f>
        <v>1529.94</v>
      </c>
      <c r="F12" s="1">
        <f>VLOOKUP($D12,'Sheet 1'!$A$2:$O$62,14,FALSE)</f>
        <v>744</v>
      </c>
      <c r="G12" s="137"/>
    </row>
    <row r="13" spans="1:7" x14ac:dyDescent="0.25">
      <c r="A13" t="str">
        <f t="shared" si="0"/>
        <v>Anthem Blue Cross EPOEmployee &amp; Family</v>
      </c>
      <c r="B13" t="s">
        <v>0</v>
      </c>
      <c r="C13" t="s">
        <v>14</v>
      </c>
      <c r="D13" t="s">
        <v>92</v>
      </c>
      <c r="E13" s="1">
        <f>VLOOKUP($D13,'Sheet 1'!$A$2:$O$62,15,FALSE)</f>
        <v>2467.56</v>
      </c>
      <c r="F13" s="1">
        <f>VLOOKUP($D13,'Sheet 1'!$A$2:$O$62,14,FALSE)</f>
        <v>1196</v>
      </c>
      <c r="G13" s="137"/>
    </row>
    <row r="14" spans="1:7" x14ac:dyDescent="0.25">
      <c r="A14" t="str">
        <f t="shared" si="0"/>
        <v>Anthem Blue Cross PlusEmployee Only</v>
      </c>
      <c r="B14" t="s">
        <v>1</v>
      </c>
      <c r="C14" t="s">
        <v>11</v>
      </c>
      <c r="D14" t="s">
        <v>82</v>
      </c>
      <c r="E14" s="1">
        <f>VLOOKUP($D14,'Sheet 1'!$A$2:$O$62,15,FALSE)</f>
        <v>892.95</v>
      </c>
      <c r="F14" s="1">
        <f>VLOOKUP($D14,'Sheet 1'!$A$2:$O$62,14,FALSE)</f>
        <v>712</v>
      </c>
      <c r="G14" s="137"/>
    </row>
    <row r="15" spans="1:7" x14ac:dyDescent="0.25">
      <c r="A15" t="str">
        <f t="shared" si="0"/>
        <v>Anthem Blue Cross PlusEmployee &amp; Adult</v>
      </c>
      <c r="B15" t="s">
        <v>1</v>
      </c>
      <c r="C15" t="s">
        <v>12</v>
      </c>
      <c r="D15" t="s">
        <v>83</v>
      </c>
      <c r="E15" s="1">
        <f>VLOOKUP($D15,'Sheet 1'!$A$2:$O$62,15,FALSE)</f>
        <v>1822.44</v>
      </c>
      <c r="F15" s="1">
        <f>VLOOKUP($D15,'Sheet 1'!$A$2:$O$62,14,FALSE)</f>
        <v>1548</v>
      </c>
      <c r="G15" s="137"/>
    </row>
    <row r="16" spans="1:7" x14ac:dyDescent="0.25">
      <c r="A16" t="str">
        <f t="shared" si="0"/>
        <v>Anthem Blue Cross PlusEmployee &amp; Child(ren)</v>
      </c>
      <c r="B16" t="s">
        <v>1</v>
      </c>
      <c r="C16" t="s">
        <v>13</v>
      </c>
      <c r="D16" t="s">
        <v>84</v>
      </c>
      <c r="E16" s="1">
        <f>VLOOKUP($D16,'Sheet 1'!$A$2:$O$62,15,FALSE)</f>
        <v>1560.93</v>
      </c>
      <c r="F16" s="1">
        <f>VLOOKUP($D16,'Sheet 1'!$A$2:$O$62,14,FALSE)</f>
        <v>1328</v>
      </c>
      <c r="G16" s="137"/>
    </row>
    <row r="17" spans="1:7" x14ac:dyDescent="0.25">
      <c r="A17" t="str">
        <f t="shared" si="0"/>
        <v>Anthem Blue Cross PlusEmployee &amp; Family</v>
      </c>
      <c r="B17" t="s">
        <v>1</v>
      </c>
      <c r="C17" t="s">
        <v>14</v>
      </c>
      <c r="D17" t="s">
        <v>85</v>
      </c>
      <c r="E17" s="1">
        <f>VLOOKUP($D17,'Sheet 1'!$A$2:$O$62,15,FALSE)</f>
        <v>2514.33</v>
      </c>
      <c r="F17" s="1">
        <f>VLOOKUP($D17,'Sheet 1'!$A$2:$O$62,14,FALSE)</f>
        <v>2140</v>
      </c>
      <c r="G17" s="137"/>
    </row>
    <row r="18" spans="1:7" x14ac:dyDescent="0.25">
      <c r="A18" t="str">
        <f t="shared" si="0"/>
        <v>Anthem Blue Cross PPOEmployee Only</v>
      </c>
      <c r="B18" t="s">
        <v>2</v>
      </c>
      <c r="C18" t="s">
        <v>11</v>
      </c>
      <c r="D18" t="s">
        <v>97</v>
      </c>
      <c r="E18" s="1">
        <f>VLOOKUP($D18,'Sheet 1'!$A$2:$O$62,15,FALSE)</f>
        <v>872.87</v>
      </c>
      <c r="F18" s="1">
        <f>VLOOKUP($D18,'Sheet 1'!$A$2:$O$62,14,FALSE)</f>
        <v>480</v>
      </c>
      <c r="G18" s="137"/>
    </row>
    <row r="19" spans="1:7" x14ac:dyDescent="0.25">
      <c r="A19" t="str">
        <f t="shared" si="0"/>
        <v>Anthem Blue Cross PPOEmployee &amp; Adult</v>
      </c>
      <c r="B19" t="s">
        <v>2</v>
      </c>
      <c r="C19" t="s">
        <v>12</v>
      </c>
      <c r="D19" t="s">
        <v>94</v>
      </c>
      <c r="E19" s="1">
        <f>VLOOKUP($D19,'Sheet 1'!$A$2:$O$62,15,FALSE)</f>
        <v>1800.85</v>
      </c>
      <c r="F19" s="1">
        <f>VLOOKUP($D19,'Sheet 1'!$A$2:$O$62,14,FALSE)</f>
        <v>1040</v>
      </c>
      <c r="G19" s="137"/>
    </row>
    <row r="20" spans="1:7" x14ac:dyDescent="0.25">
      <c r="A20" t="str">
        <f t="shared" si="0"/>
        <v>Anthem Blue Cross PPOEmployee &amp; Child(ren)</v>
      </c>
      <c r="B20" t="s">
        <v>2</v>
      </c>
      <c r="C20" t="s">
        <v>13</v>
      </c>
      <c r="D20" t="s">
        <v>95</v>
      </c>
      <c r="E20" s="1">
        <f>VLOOKUP($D20,'Sheet 1'!$A$2:$O$62,15,FALSE)</f>
        <v>1543.09</v>
      </c>
      <c r="F20" s="1">
        <f>VLOOKUP($D20,'Sheet 1'!$A$2:$O$62,14,FALSE)</f>
        <v>892</v>
      </c>
      <c r="G20" s="137"/>
    </row>
    <row r="21" spans="1:7" x14ac:dyDescent="0.25">
      <c r="A21" t="str">
        <f t="shared" si="0"/>
        <v>Anthem Blue Cross PPOEmployee &amp; Family</v>
      </c>
      <c r="B21" t="s">
        <v>2</v>
      </c>
      <c r="C21" t="s">
        <v>14</v>
      </c>
      <c r="D21" t="s">
        <v>96</v>
      </c>
      <c r="E21" s="1">
        <f>VLOOKUP($D21,'Sheet 1'!$A$2:$O$62,15,FALSE)</f>
        <v>2483.12</v>
      </c>
      <c r="F21" s="1">
        <f>VLOOKUP($D21,'Sheet 1'!$A$2:$O$62,14,FALSE)</f>
        <v>1440</v>
      </c>
      <c r="G21" s="137"/>
    </row>
    <row r="22" spans="1:7" x14ac:dyDescent="0.25">
      <c r="A22" t="str">
        <f t="shared" si="0"/>
        <v>Anthem Blue Cross HDHPEmployee Only</v>
      </c>
      <c r="B22" t="s">
        <v>3</v>
      </c>
      <c r="C22" t="s">
        <v>11</v>
      </c>
      <c r="D22" t="s">
        <v>98</v>
      </c>
      <c r="E22" s="1">
        <f>VLOOKUP($D22,'Sheet 1'!$A$2:$O$62,15,FALSE)</f>
        <v>786.3</v>
      </c>
      <c r="F22" s="1">
        <f>VLOOKUP($D22,'Sheet 1'!$A$2:$O$62,14,FALSE)</f>
        <v>204</v>
      </c>
      <c r="G22" s="137"/>
    </row>
    <row r="23" spans="1:7" x14ac:dyDescent="0.25">
      <c r="A23" t="str">
        <f t="shared" si="0"/>
        <v>Anthem Blue Cross HDHPEmployee &amp; Adult</v>
      </c>
      <c r="B23" t="s">
        <v>3</v>
      </c>
      <c r="C23" t="s">
        <v>12</v>
      </c>
      <c r="D23" t="s">
        <v>99</v>
      </c>
      <c r="E23" s="1">
        <f>VLOOKUP($D23,'Sheet 1'!$A$2:$O$62,15,FALSE)</f>
        <v>1633.9</v>
      </c>
      <c r="F23" s="1">
        <f>VLOOKUP($D23,'Sheet 1'!$A$2:$O$62,14,FALSE)</f>
        <v>452</v>
      </c>
      <c r="G23" s="137"/>
    </row>
    <row r="24" spans="1:7" x14ac:dyDescent="0.25">
      <c r="A24" t="str">
        <f t="shared" si="0"/>
        <v>Anthem Blue Cross HDHPEmployee &amp; Child(ren)</v>
      </c>
      <c r="B24" t="s">
        <v>3</v>
      </c>
      <c r="C24" t="s">
        <v>13</v>
      </c>
      <c r="D24" t="s">
        <v>101</v>
      </c>
      <c r="E24" s="1">
        <f>VLOOKUP($D24,'Sheet 1'!$A$2:$O$62,15,FALSE)</f>
        <v>1382.04</v>
      </c>
      <c r="F24" s="1">
        <f>VLOOKUP($D24,'Sheet 1'!$A$2:$O$62,14,FALSE)</f>
        <v>388</v>
      </c>
      <c r="G24" s="137"/>
    </row>
    <row r="25" spans="1:7" x14ac:dyDescent="0.25">
      <c r="A25" t="str">
        <f t="shared" si="0"/>
        <v>Anthem Blue Cross HDHPEmployee &amp; Family</v>
      </c>
      <c r="B25" t="s">
        <v>3</v>
      </c>
      <c r="C25" t="s">
        <v>14</v>
      </c>
      <c r="D25" t="s">
        <v>100</v>
      </c>
      <c r="E25" s="1">
        <f>VLOOKUP($D25,'Sheet 1'!$A$2:$O$62,15,FALSE)</f>
        <v>2300.09</v>
      </c>
      <c r="F25" s="1">
        <f>VLOOKUP($D25,'Sheet 1'!$A$2:$O$62,14,FALSE)</f>
        <v>628</v>
      </c>
      <c r="G25" s="137"/>
    </row>
    <row r="26" spans="1:7" x14ac:dyDescent="0.25">
      <c r="A26" t="str">
        <f t="shared" si="0"/>
        <v>Anthem Blue Cross Core ValueEmployee Only</v>
      </c>
      <c r="B26" t="s">
        <v>4</v>
      </c>
      <c r="C26" t="s">
        <v>11</v>
      </c>
      <c r="D26" t="s">
        <v>86</v>
      </c>
      <c r="E26" s="1">
        <f>VLOOKUP($D26,'Sheet 1'!$A$2:$O$62,15,FALSE)</f>
        <v>644.71</v>
      </c>
      <c r="F26" s="1">
        <f>VLOOKUP($D26,'Sheet 1'!$A$2:$O$62,14,FALSE)</f>
        <v>68</v>
      </c>
      <c r="G26" s="137"/>
    </row>
    <row r="27" spans="1:7" x14ac:dyDescent="0.25">
      <c r="A27" t="str">
        <f t="shared" si="0"/>
        <v>Anthem Blue Cross Core ValueEmployee &amp; Adult</v>
      </c>
      <c r="B27" t="s">
        <v>4</v>
      </c>
      <c r="C27" t="s">
        <v>12</v>
      </c>
      <c r="D27" t="s">
        <v>87</v>
      </c>
      <c r="E27" s="1">
        <f>VLOOKUP($D27,'Sheet 1'!$A$2:$O$62,15,FALSE)</f>
        <v>1342.11</v>
      </c>
      <c r="F27" s="1">
        <f>VLOOKUP($D27,'Sheet 1'!$A$2:$O$62,14,FALSE)</f>
        <v>160</v>
      </c>
      <c r="G27" s="137"/>
    </row>
    <row r="28" spans="1:7" x14ac:dyDescent="0.25">
      <c r="A28" t="str">
        <f t="shared" si="0"/>
        <v>Anthem Blue Cross Core ValueEmployee &amp; Child(ren)</v>
      </c>
      <c r="B28" t="s">
        <v>4</v>
      </c>
      <c r="C28" t="s">
        <v>13</v>
      </c>
      <c r="D28" t="s">
        <v>88</v>
      </c>
      <c r="E28" s="1">
        <f>VLOOKUP($D28,'Sheet 1'!$A$2:$O$62,15,FALSE)</f>
        <v>1133.28</v>
      </c>
      <c r="F28" s="1">
        <f>VLOOKUP($D28,'Sheet 1'!$A$2:$O$62,14,FALSE)</f>
        <v>136</v>
      </c>
      <c r="G28" s="137"/>
    </row>
    <row r="29" spans="1:7" x14ac:dyDescent="0.25">
      <c r="A29" t="str">
        <f t="shared" si="0"/>
        <v>Anthem Blue Cross Core ValueEmployee &amp; Family</v>
      </c>
      <c r="B29" t="s">
        <v>4</v>
      </c>
      <c r="C29" t="s">
        <v>14</v>
      </c>
      <c r="D29" t="s">
        <v>89</v>
      </c>
      <c r="E29" s="1">
        <f>VLOOKUP($D29,'Sheet 1'!$A$2:$O$62,15,FALSE)</f>
        <v>1902.57</v>
      </c>
      <c r="F29" s="1">
        <f>VLOOKUP($D29,'Sheet 1'!$A$2:$O$62,14,FALSE)</f>
        <v>220</v>
      </c>
      <c r="G29" s="137"/>
    </row>
    <row r="30" spans="1:7" x14ac:dyDescent="0.25">
      <c r="A30" t="str">
        <f t="shared" si="0"/>
        <v>Delta Dental PPO (nationwide)Employee Only</v>
      </c>
      <c r="B30" t="s">
        <v>5</v>
      </c>
      <c r="C30" t="s">
        <v>11</v>
      </c>
      <c r="D30" t="s">
        <v>110</v>
      </c>
      <c r="E30" s="1">
        <f>VLOOKUP($D30,'Sheet 1'!$A$2:$O$62,15,FALSE)</f>
        <v>49.2</v>
      </c>
      <c r="F30" s="1">
        <f>VLOOKUP($D30,'Sheet 1'!$A$2:$O$62,14,FALSE)</f>
        <v>0</v>
      </c>
      <c r="G30" t="s">
        <v>6</v>
      </c>
    </row>
    <row r="31" spans="1:7" x14ac:dyDescent="0.25">
      <c r="A31" t="str">
        <f t="shared" si="0"/>
        <v>Delta Dental PPO (nationwide)Employee &amp; Adult</v>
      </c>
      <c r="B31" t="s">
        <v>5</v>
      </c>
      <c r="C31" t="s">
        <v>12</v>
      </c>
      <c r="D31" t="s">
        <v>111</v>
      </c>
      <c r="E31" s="1">
        <f>VLOOKUP($D31,'Sheet 1'!$A$2:$O$62,15,FALSE)</f>
        <v>92.6</v>
      </c>
      <c r="F31" s="1">
        <f>VLOOKUP($D31,'Sheet 1'!$A$2:$O$62,14,FALSE)</f>
        <v>0</v>
      </c>
      <c r="G31" t="s">
        <v>6</v>
      </c>
    </row>
    <row r="32" spans="1:7" x14ac:dyDescent="0.25">
      <c r="A32" t="str">
        <f t="shared" si="0"/>
        <v>Delta Dental PPO (nationwide)Employee &amp; Child(ren)</v>
      </c>
      <c r="B32" t="s">
        <v>5</v>
      </c>
      <c r="C32" t="s">
        <v>13</v>
      </c>
      <c r="D32" t="s">
        <v>113</v>
      </c>
      <c r="E32" s="1">
        <f>VLOOKUP($D32,'Sheet 1'!$A$2:$O$62,15,FALSE)</f>
        <v>100.6</v>
      </c>
      <c r="F32" s="1">
        <f>VLOOKUP($D32,'Sheet 1'!$A$2:$O$62,14,FALSE)</f>
        <v>0</v>
      </c>
      <c r="G32" t="s">
        <v>6</v>
      </c>
    </row>
    <row r="33" spans="1:7" x14ac:dyDescent="0.25">
      <c r="A33" t="str">
        <f t="shared" si="0"/>
        <v>Delta Dental PPO (nationwide)Employee &amp; Family</v>
      </c>
      <c r="B33" t="s">
        <v>5</v>
      </c>
      <c r="C33" t="s">
        <v>14</v>
      </c>
      <c r="D33" t="s">
        <v>112</v>
      </c>
      <c r="E33" s="1">
        <f>VLOOKUP($D33,'Sheet 1'!$A$2:$O$62,15,FALSE)</f>
        <v>163.47999999999999</v>
      </c>
      <c r="F33" s="1">
        <f>VLOOKUP($D33,'Sheet 1'!$A$2:$O$62,14,FALSE)</f>
        <v>0</v>
      </c>
      <c r="G33" t="s">
        <v>6</v>
      </c>
    </row>
    <row r="34" spans="1:7" x14ac:dyDescent="0.25">
      <c r="A34" t="str">
        <f t="shared" si="0"/>
        <v>Delta Care USA DMO (California residents only)Employee Only</v>
      </c>
      <c r="B34" t="s">
        <v>15</v>
      </c>
      <c r="C34" t="s">
        <v>11</v>
      </c>
      <c r="D34" t="s">
        <v>299</v>
      </c>
      <c r="E34" s="1">
        <f>VLOOKUP($D34,'Sheet 1'!$A$2:$O$62,15,FALSE)</f>
        <v>24.86</v>
      </c>
      <c r="F34" s="1">
        <f>VLOOKUP($D34,'Sheet 1'!$A$2:$O$62,14,FALSE)</f>
        <v>0</v>
      </c>
      <c r="G34" t="s">
        <v>6</v>
      </c>
    </row>
    <row r="35" spans="1:7" x14ac:dyDescent="0.25">
      <c r="A35" t="str">
        <f t="shared" si="0"/>
        <v>Delta Care USA DMO (California residents only)Employee &amp; Adult</v>
      </c>
      <c r="B35" t="s">
        <v>15</v>
      </c>
      <c r="C35" t="s">
        <v>12</v>
      </c>
      <c r="D35" t="s">
        <v>300</v>
      </c>
      <c r="E35" s="1">
        <f>VLOOKUP($D35,'Sheet 1'!$A$2:$O$62,15,FALSE)</f>
        <v>42.65</v>
      </c>
      <c r="F35" s="1">
        <f>VLOOKUP($D35,'Sheet 1'!$A$2:$O$62,14,FALSE)</f>
        <v>0</v>
      </c>
      <c r="G35" t="s">
        <v>6</v>
      </c>
    </row>
    <row r="36" spans="1:7" x14ac:dyDescent="0.25">
      <c r="A36" t="str">
        <f t="shared" si="0"/>
        <v>Delta Care USA DMO (California residents only)Employee &amp; Child(ren)</v>
      </c>
      <c r="B36" t="s">
        <v>15</v>
      </c>
      <c r="C36" t="s">
        <v>13</v>
      </c>
      <c r="D36" t="s">
        <v>301</v>
      </c>
      <c r="E36" s="1">
        <f>VLOOKUP($D36,'Sheet 1'!$A$2:$O$62,15,FALSE)</f>
        <v>42.94</v>
      </c>
      <c r="F36" s="1">
        <f>VLOOKUP($D36,'Sheet 1'!$A$2:$O$62,14,FALSE)</f>
        <v>0</v>
      </c>
      <c r="G36" t="s">
        <v>6</v>
      </c>
    </row>
    <row r="37" spans="1:7" x14ac:dyDescent="0.25">
      <c r="A37" t="str">
        <f t="shared" si="0"/>
        <v>Delta Care USA DMO (California residents only)Employee &amp; Family</v>
      </c>
      <c r="B37" t="s">
        <v>15</v>
      </c>
      <c r="C37" t="s">
        <v>14</v>
      </c>
      <c r="D37" t="s">
        <v>302</v>
      </c>
      <c r="E37" s="1">
        <f>VLOOKUP($D37,'Sheet 1'!$A$2:$O$62,15,FALSE)</f>
        <v>61.88</v>
      </c>
      <c r="F37" s="1">
        <f>VLOOKUP($D37,'Sheet 1'!$A$2:$O$62,14,FALSE)</f>
        <v>0</v>
      </c>
      <c r="G37" t="s">
        <v>6</v>
      </c>
    </row>
    <row r="38" spans="1:7" x14ac:dyDescent="0.25">
      <c r="A38" t="str">
        <f t="shared" si="0"/>
        <v>Vision PlanEmployee Only</v>
      </c>
      <c r="B38" t="s">
        <v>7</v>
      </c>
      <c r="C38" t="s">
        <v>11</v>
      </c>
      <c r="D38" t="s">
        <v>106</v>
      </c>
      <c r="E38" s="1">
        <f>VLOOKUP($D38,'Sheet 1'!$A$2:$O$62,15,FALSE)</f>
        <v>9.1999999999999993</v>
      </c>
      <c r="F38" s="1">
        <f>VLOOKUP($D38,'Sheet 1'!$A$2:$O$62,14,FALSE)</f>
        <v>0</v>
      </c>
      <c r="G38" t="s">
        <v>6</v>
      </c>
    </row>
    <row r="39" spans="1:7" x14ac:dyDescent="0.25">
      <c r="A39" t="str">
        <f t="shared" si="0"/>
        <v>Vision PlanEmployee &amp; Adult</v>
      </c>
      <c r="B39" t="s">
        <v>7</v>
      </c>
      <c r="C39" t="s">
        <v>12</v>
      </c>
      <c r="D39" t="s">
        <v>107</v>
      </c>
      <c r="E39" s="1">
        <f>VLOOKUP($D39,'Sheet 1'!$A$2:$O$62,15,FALSE)</f>
        <v>18.32</v>
      </c>
      <c r="F39" s="1">
        <f>VLOOKUP($D39,'Sheet 1'!$A$2:$O$62,14,FALSE)</f>
        <v>0</v>
      </c>
      <c r="G39" t="s">
        <v>6</v>
      </c>
    </row>
    <row r="40" spans="1:7" x14ac:dyDescent="0.25">
      <c r="A40" t="str">
        <f t="shared" si="0"/>
        <v>Vision PlanEmployee &amp; Child(ren)</v>
      </c>
      <c r="B40" t="s">
        <v>7</v>
      </c>
      <c r="C40" t="s">
        <v>13</v>
      </c>
      <c r="D40" t="s">
        <v>109</v>
      </c>
      <c r="E40" s="1">
        <f>VLOOKUP($D40,'Sheet 1'!$A$2:$O$62,15,FALSE)</f>
        <v>19.64</v>
      </c>
      <c r="F40" s="1">
        <f>VLOOKUP($D40,'Sheet 1'!$A$2:$O$62,14,FALSE)</f>
        <v>0</v>
      </c>
      <c r="G40" t="s">
        <v>6</v>
      </c>
    </row>
    <row r="41" spans="1:7" x14ac:dyDescent="0.25">
      <c r="A41" t="str">
        <f t="shared" si="0"/>
        <v>Vision PlanEmployee &amp; Family</v>
      </c>
      <c r="B41" t="s">
        <v>7</v>
      </c>
      <c r="C41" t="s">
        <v>14</v>
      </c>
      <c r="D41" t="s">
        <v>108</v>
      </c>
      <c r="E41" s="1">
        <f>VLOOKUP($D41,'Sheet 1'!$A$2:$O$62,15,FALSE)</f>
        <v>31.4</v>
      </c>
      <c r="F41" s="1">
        <f>VLOOKUP($D41,'Sheet 1'!$A$2:$O$62,14,FALSE)</f>
        <v>0</v>
      </c>
      <c r="G41" t="s">
        <v>6</v>
      </c>
    </row>
    <row r="42" spans="1:7" x14ac:dyDescent="0.25">
      <c r="A42" t="str">
        <f t="shared" si="0"/>
        <v>Vision Plan Plus (buy-up option)Employee Only</v>
      </c>
      <c r="B42" t="s">
        <v>8</v>
      </c>
      <c r="C42" t="s">
        <v>11</v>
      </c>
      <c r="D42" t="s">
        <v>102</v>
      </c>
      <c r="E42" s="1">
        <f>VLOOKUP($D42,'Sheet 1'!$A$2:$O$62,15,FALSE)</f>
        <v>9.1999999999999993</v>
      </c>
      <c r="F42" s="1">
        <f>VLOOKUP($D42,'Sheet 1'!$A$2:$O$62,14,FALSE)</f>
        <v>7.08</v>
      </c>
    </row>
    <row r="43" spans="1:7" x14ac:dyDescent="0.25">
      <c r="A43" t="str">
        <f t="shared" si="0"/>
        <v>Vision Plan Plus (buy-up option)Employee &amp; Adult</v>
      </c>
      <c r="B43" t="s">
        <v>8</v>
      </c>
      <c r="C43" t="s">
        <v>12</v>
      </c>
      <c r="D43" t="s">
        <v>103</v>
      </c>
      <c r="E43" s="1">
        <f>VLOOKUP($D43,'Sheet 1'!$A$2:$O$62,15,FALSE)</f>
        <v>18.32</v>
      </c>
      <c r="F43" s="1">
        <f>VLOOKUP($D43,'Sheet 1'!$A$2:$O$62,14,FALSE)</f>
        <v>14.24</v>
      </c>
    </row>
    <row r="44" spans="1:7" x14ac:dyDescent="0.25">
      <c r="A44" t="str">
        <f t="shared" si="0"/>
        <v>Vision Plan Plus (buy-up option)Employee &amp; Child(ren)</v>
      </c>
      <c r="B44" t="s">
        <v>8</v>
      </c>
      <c r="C44" t="s">
        <v>13</v>
      </c>
      <c r="D44" t="s">
        <v>104</v>
      </c>
      <c r="E44" s="1">
        <f>VLOOKUP($D44,'Sheet 1'!$A$2:$O$62,15,FALSE)</f>
        <v>19.64</v>
      </c>
      <c r="F44" s="1">
        <f>VLOOKUP($D44,'Sheet 1'!$A$2:$O$62,14,FALSE)</f>
        <v>15.24</v>
      </c>
    </row>
    <row r="45" spans="1:7" x14ac:dyDescent="0.25">
      <c r="A45" t="str">
        <f t="shared" si="0"/>
        <v>Vision Plan Plus (buy-up option)Employee &amp; Family</v>
      </c>
      <c r="B45" t="s">
        <v>8</v>
      </c>
      <c r="C45" t="s">
        <v>14</v>
      </c>
      <c r="D45" t="s">
        <v>105</v>
      </c>
      <c r="E45" s="1">
        <f>VLOOKUP($D45,'Sheet 1'!$A$2:$O$62,15,FALSE)</f>
        <v>31.4</v>
      </c>
      <c r="F45" s="1">
        <f>VLOOKUP($D45,'Sheet 1'!$A$2:$O$62,14,FALSE)</f>
        <v>24.28</v>
      </c>
    </row>
  </sheetData>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7"/>
  <sheetViews>
    <sheetView workbookViewId="0">
      <selection activeCell="I13" sqref="I13"/>
    </sheetView>
  </sheetViews>
  <sheetFormatPr defaultColWidth="9.140625" defaultRowHeight="12.75" x14ac:dyDescent="0.2"/>
  <cols>
    <col min="1" max="1" width="43.140625" style="13" customWidth="1"/>
    <col min="2" max="2" width="15.7109375" style="13" customWidth="1"/>
    <col min="3" max="4" width="15.7109375" style="15" customWidth="1"/>
    <col min="5" max="6" width="15.7109375" style="13" customWidth="1"/>
    <col min="7" max="7" width="9.140625" style="27"/>
    <col min="8" max="8" width="9.85546875" style="13" bestFit="1" customWidth="1"/>
    <col min="9" max="9" width="11.140625" style="13" bestFit="1" customWidth="1"/>
    <col min="10" max="16384" width="9.140625" style="13"/>
  </cols>
  <sheetData>
    <row r="1" spans="1:9" ht="20.25" x14ac:dyDescent="0.3">
      <c r="A1" s="146" t="s">
        <v>200</v>
      </c>
      <c r="B1" s="147"/>
      <c r="C1" s="147"/>
      <c r="D1" s="147"/>
      <c r="E1" s="147"/>
      <c r="F1" s="147"/>
      <c r="G1" s="147"/>
    </row>
    <row r="2" spans="1:9" x14ac:dyDescent="0.2">
      <c r="A2" s="12"/>
      <c r="B2" s="12"/>
      <c r="C2" s="14"/>
      <c r="E2" s="16"/>
      <c r="F2" s="17"/>
      <c r="G2" s="18"/>
      <c r="H2" s="35" t="s">
        <v>65</v>
      </c>
      <c r="I2" s="35" t="s">
        <v>215</v>
      </c>
    </row>
    <row r="3" spans="1:9" x14ac:dyDescent="0.2">
      <c r="A3" s="20" t="s">
        <v>202</v>
      </c>
      <c r="B3" s="21"/>
      <c r="C3" s="22">
        <f>ROUNDUP(Calculator!B4,-3)</f>
        <v>0</v>
      </c>
      <c r="E3" s="16"/>
      <c r="F3" s="17"/>
      <c r="G3" s="18"/>
      <c r="H3" s="19" t="s">
        <v>16</v>
      </c>
      <c r="I3" s="23">
        <v>2.1999999999999999E-2</v>
      </c>
    </row>
    <row r="4" spans="1:9" x14ac:dyDescent="0.2">
      <c r="A4" s="20" t="s">
        <v>203</v>
      </c>
      <c r="B4" s="12"/>
      <c r="C4" s="24" t="str">
        <f>Calculator!B18</f>
        <v>Select Age Group</v>
      </c>
      <c r="E4" s="16"/>
      <c r="F4" s="17"/>
      <c r="G4" s="18"/>
      <c r="H4" s="19" t="s">
        <v>17</v>
      </c>
      <c r="I4" s="23">
        <v>2.1999999999999999E-2</v>
      </c>
    </row>
    <row r="5" spans="1:9" x14ac:dyDescent="0.2">
      <c r="A5" s="20" t="s">
        <v>201</v>
      </c>
      <c r="B5" s="12"/>
      <c r="C5" s="25" t="e">
        <f>VLOOKUP(C4,$H$3:$I$13,2,FALSE)</f>
        <v>#N/A</v>
      </c>
      <c r="E5" s="16"/>
      <c r="F5" s="17"/>
      <c r="G5" s="18"/>
      <c r="H5" s="19" t="s">
        <v>18</v>
      </c>
      <c r="I5" s="23">
        <v>2.5999999999999999E-2</v>
      </c>
    </row>
    <row r="6" spans="1:9" x14ac:dyDescent="0.2">
      <c r="D6" s="13"/>
      <c r="E6" s="16"/>
      <c r="F6" s="17"/>
      <c r="G6" s="18"/>
      <c r="H6" s="19" t="s">
        <v>19</v>
      </c>
      <c r="I6" s="23">
        <v>3.2000000000000001E-2</v>
      </c>
    </row>
    <row r="7" spans="1:9" x14ac:dyDescent="0.2">
      <c r="A7" s="13" t="s">
        <v>204</v>
      </c>
      <c r="B7" s="12"/>
      <c r="C7" s="14"/>
      <c r="D7" s="13"/>
      <c r="E7" s="26"/>
      <c r="F7" s="17"/>
      <c r="G7" s="18"/>
      <c r="H7" s="19" t="s">
        <v>20</v>
      </c>
      <c r="I7" s="23">
        <v>5.0999999999999997E-2</v>
      </c>
    </row>
    <row r="8" spans="1:9" x14ac:dyDescent="0.2">
      <c r="B8" s="12"/>
      <c r="C8" s="14"/>
      <c r="D8" s="13"/>
      <c r="E8" s="26"/>
      <c r="F8" s="17"/>
      <c r="G8" s="18"/>
      <c r="H8" s="19" t="s">
        <v>21</v>
      </c>
      <c r="I8" s="23">
        <v>9.1999999999999998E-2</v>
      </c>
    </row>
    <row r="9" spans="1:9" x14ac:dyDescent="0.2">
      <c r="B9" s="12"/>
      <c r="C9" s="14"/>
      <c r="D9" s="13"/>
      <c r="E9" s="26"/>
      <c r="F9" s="17"/>
      <c r="G9" s="18"/>
      <c r="H9" s="19" t="s">
        <v>22</v>
      </c>
      <c r="I9" s="23">
        <v>0.13400000000000001</v>
      </c>
    </row>
    <row r="10" spans="1:9" x14ac:dyDescent="0.2">
      <c r="A10" s="20"/>
      <c r="B10" s="12"/>
      <c r="C10" s="14"/>
      <c r="D10" s="13"/>
      <c r="E10" s="26"/>
      <c r="F10" s="17"/>
      <c r="G10" s="18"/>
      <c r="H10" s="19" t="s">
        <v>23</v>
      </c>
      <c r="I10" s="23">
        <v>0.24199999999999999</v>
      </c>
    </row>
    <row r="11" spans="1:9" x14ac:dyDescent="0.2">
      <c r="E11" s="26"/>
      <c r="F11" s="17"/>
      <c r="H11" s="19" t="s">
        <v>24</v>
      </c>
      <c r="I11" s="23">
        <v>0.378</v>
      </c>
    </row>
    <row r="12" spans="1:9" x14ac:dyDescent="0.2">
      <c r="H12" s="19" t="s">
        <v>25</v>
      </c>
      <c r="I12" s="23">
        <v>0.57999999999999996</v>
      </c>
    </row>
    <row r="13" spans="1:9" x14ac:dyDescent="0.2">
      <c r="B13" s="148" t="s">
        <v>205</v>
      </c>
      <c r="C13" s="149"/>
      <c r="D13" s="149"/>
      <c r="E13" s="149"/>
      <c r="F13" s="150"/>
      <c r="G13" s="28"/>
      <c r="H13" s="19" t="s">
        <v>26</v>
      </c>
      <c r="I13" s="23">
        <v>1.0409999999999999</v>
      </c>
    </row>
    <row r="14" spans="1:9" x14ac:dyDescent="0.2">
      <c r="B14" s="29">
        <v>1</v>
      </c>
      <c r="C14" s="30">
        <v>2</v>
      </c>
      <c r="D14" s="30">
        <v>3</v>
      </c>
      <c r="E14" s="29">
        <v>4</v>
      </c>
      <c r="F14" s="29">
        <v>5</v>
      </c>
      <c r="G14" s="31"/>
    </row>
    <row r="15" spans="1:9" x14ac:dyDescent="0.2">
      <c r="A15" s="13" t="s">
        <v>206</v>
      </c>
      <c r="B15" s="32">
        <f>$C$3</f>
        <v>0</v>
      </c>
      <c r="C15" s="32">
        <f>$C$3</f>
        <v>0</v>
      </c>
      <c r="D15" s="32">
        <f>$C$3</f>
        <v>0</v>
      </c>
      <c r="E15" s="32">
        <f>$C$3</f>
        <v>0</v>
      </c>
      <c r="F15" s="32">
        <f>$C$3</f>
        <v>0</v>
      </c>
    </row>
    <row r="16" spans="1:9" x14ac:dyDescent="0.2">
      <c r="A16" s="13" t="s">
        <v>207</v>
      </c>
      <c r="B16" s="32">
        <f>IF((B15*B14)&gt;250000, 250000,(B15*B14))</f>
        <v>0</v>
      </c>
      <c r="C16" s="32">
        <f>IF((C15*C14)&gt;500000, 500000,(C15*C14))</f>
        <v>0</v>
      </c>
      <c r="D16" s="32">
        <f>IF((D15*D14)&gt;750000, 750000,(D15*D14))</f>
        <v>0</v>
      </c>
      <c r="E16" s="32">
        <f>IF((E15*E14)&gt;1000000, 1000000,(E15*E14))</f>
        <v>0</v>
      </c>
      <c r="F16" s="32">
        <f>IF((F15*F14)&gt;2000000,2000000,(F15*F14))</f>
        <v>0</v>
      </c>
    </row>
    <row r="17" spans="1:6" x14ac:dyDescent="0.2">
      <c r="A17" s="13" t="s">
        <v>208</v>
      </c>
      <c r="B17" s="32">
        <f>B16/1000</f>
        <v>0</v>
      </c>
      <c r="C17" s="32">
        <f>C16/1000</f>
        <v>0</v>
      </c>
      <c r="D17" s="32">
        <f>D16/1000</f>
        <v>0</v>
      </c>
      <c r="E17" s="32">
        <f>E16/1000</f>
        <v>0</v>
      </c>
      <c r="F17" s="32">
        <f>F16/1000</f>
        <v>0</v>
      </c>
    </row>
    <row r="18" spans="1:6" x14ac:dyDescent="0.2">
      <c r="A18" s="13" t="s">
        <v>201</v>
      </c>
      <c r="B18" s="33" t="e">
        <f>$C$5</f>
        <v>#N/A</v>
      </c>
      <c r="C18" s="33" t="e">
        <f t="shared" ref="C18:F18" si="0">$C$5</f>
        <v>#N/A</v>
      </c>
      <c r="D18" s="33" t="e">
        <f t="shared" si="0"/>
        <v>#N/A</v>
      </c>
      <c r="E18" s="33" t="e">
        <f t="shared" si="0"/>
        <v>#N/A</v>
      </c>
      <c r="F18" s="33" t="e">
        <f t="shared" si="0"/>
        <v>#N/A</v>
      </c>
    </row>
    <row r="19" spans="1:6" x14ac:dyDescent="0.2">
      <c r="A19" s="13" t="s">
        <v>209</v>
      </c>
      <c r="B19" s="36" t="e">
        <f>B18*B17</f>
        <v>#N/A</v>
      </c>
      <c r="C19" s="36" t="e">
        <f>C18*C17</f>
        <v>#N/A</v>
      </c>
      <c r="D19" s="36" t="e">
        <f>D18*D17</f>
        <v>#N/A</v>
      </c>
      <c r="E19" s="36" t="e">
        <f>E18*E17</f>
        <v>#N/A</v>
      </c>
      <c r="F19" s="36" t="e">
        <f>F18*F17</f>
        <v>#N/A</v>
      </c>
    </row>
    <row r="20" spans="1:6" x14ac:dyDescent="0.2">
      <c r="A20" s="13" t="s">
        <v>210</v>
      </c>
      <c r="B20" s="34" t="e">
        <f>B19/2</f>
        <v>#N/A</v>
      </c>
      <c r="C20" s="34" t="e">
        <f>C19/2</f>
        <v>#N/A</v>
      </c>
      <c r="D20" s="34" t="e">
        <f>D19/2</f>
        <v>#N/A</v>
      </c>
      <c r="E20" s="34" t="e">
        <f>E19/2</f>
        <v>#N/A</v>
      </c>
      <c r="F20" s="34" t="e">
        <f>F19/2</f>
        <v>#N/A</v>
      </c>
    </row>
    <row r="21" spans="1:6" x14ac:dyDescent="0.2">
      <c r="A21" s="13" t="s">
        <v>211</v>
      </c>
      <c r="B21" s="34" t="e">
        <f>B19/4</f>
        <v>#N/A</v>
      </c>
      <c r="C21" s="34" t="e">
        <f t="shared" ref="C21:F21" si="1">C19/4</f>
        <v>#N/A</v>
      </c>
      <c r="D21" s="34" t="e">
        <f t="shared" si="1"/>
        <v>#N/A</v>
      </c>
      <c r="E21" s="34" t="e">
        <f t="shared" si="1"/>
        <v>#N/A</v>
      </c>
      <c r="F21" s="34" t="e">
        <f t="shared" si="1"/>
        <v>#N/A</v>
      </c>
    </row>
    <row r="22" spans="1:6" x14ac:dyDescent="0.2">
      <c r="B22" s="34" t="e">
        <f>B19*12</f>
        <v>#N/A</v>
      </c>
      <c r="C22" s="34" t="e">
        <f t="shared" ref="C22:F22" si="2">C19*12</f>
        <v>#N/A</v>
      </c>
      <c r="D22" s="34" t="e">
        <f t="shared" si="2"/>
        <v>#N/A</v>
      </c>
      <c r="E22" s="34" t="e">
        <f t="shared" si="2"/>
        <v>#N/A</v>
      </c>
      <c r="F22" s="34" t="e">
        <f t="shared" si="2"/>
        <v>#N/A</v>
      </c>
    </row>
    <row r="24" spans="1:6" x14ac:dyDescent="0.2">
      <c r="A24" s="13" t="s">
        <v>212</v>
      </c>
    </row>
    <row r="28" spans="1:6" x14ac:dyDescent="0.2">
      <c r="A28" s="28" t="s">
        <v>213</v>
      </c>
      <c r="B28" s="28"/>
      <c r="C28" s="28"/>
      <c r="D28" s="28"/>
      <c r="E28" s="28"/>
    </row>
    <row r="29" spans="1:6" x14ac:dyDescent="0.2">
      <c r="A29" s="13" t="s">
        <v>214</v>
      </c>
      <c r="C29" s="13"/>
      <c r="D29" s="13"/>
    </row>
    <row r="33" spans="1:2" x14ac:dyDescent="0.2">
      <c r="A33" s="37" t="s">
        <v>216</v>
      </c>
      <c r="B33" s="38" t="e">
        <f ca="1">OFFSET('Supplemental Life'!$B$19:$F$19,0,Calculator!B19-1,1,1)*12</f>
        <v>#VALUE!</v>
      </c>
    </row>
    <row r="37" spans="1:2" x14ac:dyDescent="0.2">
      <c r="B37" s="13" t="e">
        <f ca="1">OFFSET('Supplemental Life'!$B$19:$F$19,0,Calculator!B19-1,1,1)*12</f>
        <v>#VALUE!</v>
      </c>
    </row>
  </sheetData>
  <mergeCells count="2">
    <mergeCell ref="A1:G1"/>
    <mergeCell ref="B13:F13"/>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5"/>
  <sheetViews>
    <sheetView workbookViewId="0">
      <selection activeCell="D38" sqref="D38"/>
    </sheetView>
  </sheetViews>
  <sheetFormatPr defaultColWidth="9.140625" defaultRowHeight="12.75" x14ac:dyDescent="0.2"/>
  <cols>
    <col min="1" max="1" width="46.28515625" style="13" customWidth="1"/>
    <col min="2" max="2" width="12.28515625" style="13" customWidth="1"/>
    <col min="3" max="3" width="4.42578125" style="13" customWidth="1"/>
    <col min="4" max="4" width="9.85546875" style="13" customWidth="1"/>
    <col min="5" max="5" width="12.140625" style="13" customWidth="1"/>
    <col min="6" max="6" width="13.7109375" style="13" customWidth="1"/>
    <col min="7" max="8" width="9.140625" style="13"/>
    <col min="9" max="9" width="11.5703125" style="13" bestFit="1" customWidth="1"/>
    <col min="10" max="11" width="9.140625" style="13"/>
    <col min="12" max="12" width="11.5703125" style="13" bestFit="1" customWidth="1"/>
    <col min="13" max="16384" width="9.140625" style="13"/>
  </cols>
  <sheetData>
    <row r="1" spans="1:12" ht="25.5" x14ac:dyDescent="0.35">
      <c r="A1" s="147" t="s">
        <v>217</v>
      </c>
      <c r="B1" s="147"/>
      <c r="C1" s="147"/>
      <c r="D1" s="147"/>
      <c r="E1" s="147"/>
      <c r="F1" s="39"/>
    </row>
    <row r="2" spans="1:12" ht="49.5" customHeight="1" thickBot="1" x14ac:dyDescent="0.4">
      <c r="A2" s="39"/>
      <c r="B2" s="39"/>
      <c r="C2" s="39"/>
      <c r="F2" s="39"/>
      <c r="H2" s="151" t="s">
        <v>306</v>
      </c>
      <c r="I2" s="152"/>
      <c r="J2" s="128"/>
      <c r="K2" s="151" t="s">
        <v>307</v>
      </c>
      <c r="L2" s="152"/>
    </row>
    <row r="3" spans="1:12" s="42" customFormat="1" ht="13.15" customHeight="1" thickBot="1" x14ac:dyDescent="0.35">
      <c r="A3" s="153" t="s">
        <v>306</v>
      </c>
      <c r="B3" s="154"/>
      <c r="C3" s="40"/>
      <c r="D3" s="41"/>
      <c r="E3" s="41"/>
      <c r="F3" s="40"/>
      <c r="H3" t="s">
        <v>50</v>
      </c>
      <c r="I3" t="s">
        <v>49</v>
      </c>
      <c r="K3" t="s">
        <v>50</v>
      </c>
      <c r="L3" t="s">
        <v>49</v>
      </c>
    </row>
    <row r="4" spans="1:12" ht="15" x14ac:dyDescent="0.25">
      <c r="A4" s="43" t="s">
        <v>218</v>
      </c>
      <c r="B4" s="44">
        <f>Calculator!C20</f>
        <v>0</v>
      </c>
      <c r="C4" s="12"/>
      <c r="D4" s="16"/>
      <c r="E4" s="45"/>
      <c r="F4" s="41"/>
      <c r="H4" s="1" t="s">
        <v>16</v>
      </c>
      <c r="I4" s="6">
        <v>0.124</v>
      </c>
      <c r="K4" s="1" t="s">
        <v>16</v>
      </c>
      <c r="L4" s="6">
        <v>3.5999999999999997E-2</v>
      </c>
    </row>
    <row r="5" spans="1:12" ht="15" x14ac:dyDescent="0.25">
      <c r="A5" s="43" t="s">
        <v>208</v>
      </c>
      <c r="B5" s="46">
        <f>B4/1000</f>
        <v>0</v>
      </c>
      <c r="C5" s="12"/>
      <c r="D5" s="16"/>
      <c r="E5" s="45"/>
      <c r="F5" s="45"/>
      <c r="H5" s="1" t="s">
        <v>17</v>
      </c>
      <c r="I5" s="6">
        <v>0.124</v>
      </c>
      <c r="K5" s="1" t="s">
        <v>17</v>
      </c>
      <c r="L5" s="6">
        <v>3.5999999999999997E-2</v>
      </c>
    </row>
    <row r="6" spans="1:12" ht="15" x14ac:dyDescent="0.25">
      <c r="A6" s="43" t="s">
        <v>203</v>
      </c>
      <c r="B6" s="47" t="str">
        <f>Calculator!B18</f>
        <v>Select Age Group</v>
      </c>
      <c r="C6" s="12"/>
      <c r="D6" s="16"/>
      <c r="E6" s="45"/>
      <c r="F6" s="45"/>
      <c r="H6" s="1" t="s">
        <v>18</v>
      </c>
      <c r="I6" s="6">
        <v>0.124</v>
      </c>
      <c r="K6" s="1" t="s">
        <v>18</v>
      </c>
      <c r="L6" s="6">
        <v>4.4999999999999998E-2</v>
      </c>
    </row>
    <row r="7" spans="1:12" ht="13.15" customHeight="1" x14ac:dyDescent="0.25">
      <c r="A7" s="43" t="s">
        <v>201</v>
      </c>
      <c r="B7" s="58" t="e">
        <f>VLOOKUP(B6,$H$4:$I$14,2,FALSE)</f>
        <v>#N/A</v>
      </c>
      <c r="C7" s="12"/>
      <c r="D7" s="16"/>
      <c r="E7" s="45"/>
      <c r="F7" s="45"/>
      <c r="H7" s="1" t="s">
        <v>19</v>
      </c>
      <c r="I7" s="6">
        <v>0.22</v>
      </c>
      <c r="K7" s="1" t="s">
        <v>19</v>
      </c>
      <c r="L7" s="6">
        <v>5.3999999999999999E-2</v>
      </c>
    </row>
    <row r="8" spans="1:12" ht="15" x14ac:dyDescent="0.25">
      <c r="A8" s="13" t="s">
        <v>209</v>
      </c>
      <c r="B8" s="34" t="e">
        <f>B7*B5</f>
        <v>#N/A</v>
      </c>
      <c r="C8" s="12"/>
      <c r="D8" s="16"/>
      <c r="E8" s="45"/>
      <c r="F8" s="45"/>
      <c r="H8" s="1" t="s">
        <v>20</v>
      </c>
      <c r="I8" s="136">
        <v>0.24299999999999999</v>
      </c>
      <c r="K8" s="1" t="s">
        <v>20</v>
      </c>
      <c r="L8" s="6">
        <v>0.09</v>
      </c>
    </row>
    <row r="9" spans="1:12" ht="13.15" customHeight="1" x14ac:dyDescent="0.25">
      <c r="A9" s="43" t="s">
        <v>210</v>
      </c>
      <c r="B9" s="46" t="e">
        <f>B8/2</f>
        <v>#N/A</v>
      </c>
      <c r="C9" s="12"/>
      <c r="F9" s="45"/>
      <c r="H9" s="1" t="s">
        <v>21</v>
      </c>
      <c r="I9" s="6">
        <v>0.29799999999999999</v>
      </c>
      <c r="K9" s="1" t="s">
        <v>21</v>
      </c>
      <c r="L9" s="6">
        <v>0.20599999999999999</v>
      </c>
    </row>
    <row r="10" spans="1:12" s="42" customFormat="1" ht="13.15" customHeight="1" x14ac:dyDescent="0.3">
      <c r="A10" s="13" t="s">
        <v>211</v>
      </c>
      <c r="B10" s="34" t="e">
        <f>B8/4</f>
        <v>#N/A</v>
      </c>
      <c r="C10" s="48"/>
      <c r="D10" s="48"/>
      <c r="E10" s="48"/>
      <c r="F10" s="48"/>
      <c r="H10" s="1" t="s">
        <v>22</v>
      </c>
      <c r="I10" s="6">
        <v>0.33900000000000002</v>
      </c>
      <c r="K10" s="1" t="s">
        <v>22</v>
      </c>
      <c r="L10" s="6">
        <v>0.28799999999999998</v>
      </c>
    </row>
    <row r="11" spans="1:12" ht="15" customHeight="1" thickBot="1" x14ac:dyDescent="0.3">
      <c r="F11" s="49"/>
      <c r="H11" s="1" t="s">
        <v>23</v>
      </c>
      <c r="I11" s="6">
        <v>0.33900000000000002</v>
      </c>
      <c r="K11" s="1" t="s">
        <v>23</v>
      </c>
      <c r="L11" s="6">
        <v>0.48499999999999999</v>
      </c>
    </row>
    <row r="12" spans="1:12" ht="13.15" customHeight="1" thickBot="1" x14ac:dyDescent="0.3">
      <c r="A12" s="153" t="s">
        <v>307</v>
      </c>
      <c r="B12" s="154"/>
      <c r="F12" s="50"/>
      <c r="H12" s="1" t="s">
        <v>24</v>
      </c>
      <c r="I12" s="6">
        <v>0.33900000000000002</v>
      </c>
      <c r="K12" s="1" t="s">
        <v>24</v>
      </c>
      <c r="L12" s="6">
        <v>0.51200000000000001</v>
      </c>
    </row>
    <row r="13" spans="1:12" ht="15" x14ac:dyDescent="0.25">
      <c r="A13" s="12" t="s">
        <v>308</v>
      </c>
      <c r="B13" s="51" t="str">
        <f>Calculator!C21</f>
        <v>Select Amount</v>
      </c>
      <c r="F13" s="50"/>
      <c r="H13" s="1" t="s">
        <v>25</v>
      </c>
      <c r="I13" s="6">
        <v>0.33900000000000002</v>
      </c>
      <c r="K13" s="1" t="s">
        <v>25</v>
      </c>
      <c r="L13" s="6">
        <v>0.79</v>
      </c>
    </row>
    <row r="14" spans="1:12" ht="15" x14ac:dyDescent="0.25">
      <c r="A14" s="12" t="s">
        <v>208</v>
      </c>
      <c r="B14" s="52" t="e">
        <f>B13/1000</f>
        <v>#VALUE!</v>
      </c>
      <c r="F14" s="50"/>
      <c r="H14" s="1" t="s">
        <v>26</v>
      </c>
      <c r="I14" s="6">
        <v>0.33900000000000002</v>
      </c>
      <c r="K14" s="1" t="s">
        <v>26</v>
      </c>
      <c r="L14" s="6">
        <v>1.387</v>
      </c>
    </row>
    <row r="15" spans="1:12" ht="15" customHeight="1" x14ac:dyDescent="0.2">
      <c r="A15" s="12" t="s">
        <v>203</v>
      </c>
      <c r="B15" s="24" t="str">
        <f>Calculator!B18</f>
        <v>Select Age Group</v>
      </c>
      <c r="C15" s="12"/>
      <c r="D15" s="16"/>
      <c r="E15" s="26"/>
      <c r="F15" s="50"/>
    </row>
    <row r="16" spans="1:12" x14ac:dyDescent="0.2">
      <c r="A16" s="12" t="s">
        <v>201</v>
      </c>
      <c r="B16" s="53" t="e">
        <f>VLOOKUP(B15,$K$4:$L$14,2,FALSE)</f>
        <v>#N/A</v>
      </c>
      <c r="C16" s="12"/>
      <c r="D16" s="16"/>
      <c r="E16" s="26"/>
      <c r="F16" s="28"/>
    </row>
    <row r="17" spans="1:6" x14ac:dyDescent="0.2">
      <c r="A17" s="13" t="s">
        <v>209</v>
      </c>
      <c r="B17" s="70" t="e">
        <f>B14*B16</f>
        <v>#VALUE!</v>
      </c>
      <c r="C17" s="12"/>
      <c r="D17" s="16"/>
      <c r="E17" s="26"/>
      <c r="F17" s="50"/>
    </row>
    <row r="18" spans="1:6" x14ac:dyDescent="0.2">
      <c r="A18" s="12" t="s">
        <v>210</v>
      </c>
      <c r="B18" s="53" t="e">
        <f>B17/2</f>
        <v>#VALUE!</v>
      </c>
      <c r="C18" s="12"/>
      <c r="D18" s="16"/>
      <c r="E18" s="26"/>
      <c r="F18" s="54"/>
    </row>
    <row r="19" spans="1:6" x14ac:dyDescent="0.2">
      <c r="A19" s="12" t="s">
        <v>211</v>
      </c>
      <c r="B19" s="55" t="e">
        <f>B17/4</f>
        <v>#VALUE!</v>
      </c>
    </row>
    <row r="21" spans="1:6" x14ac:dyDescent="0.2">
      <c r="A21" s="129" t="s">
        <v>309</v>
      </c>
      <c r="B21" s="71"/>
    </row>
    <row r="22" spans="1:6" x14ac:dyDescent="0.2">
      <c r="A22" s="12"/>
      <c r="B22" s="46"/>
      <c r="F22" s="56"/>
    </row>
    <row r="23" spans="1:6" x14ac:dyDescent="0.2">
      <c r="A23" s="12"/>
      <c r="B23" s="57"/>
    </row>
    <row r="24" spans="1:6" x14ac:dyDescent="0.2">
      <c r="C24" s="12"/>
      <c r="D24" s="16"/>
      <c r="E24" s="26"/>
    </row>
    <row r="25" spans="1:6" x14ac:dyDescent="0.2">
      <c r="A25" s="69" t="s">
        <v>233</v>
      </c>
      <c r="B25" s="71">
        <f>0.38</f>
        <v>0.38</v>
      </c>
    </row>
    <row r="28" spans="1:6" x14ac:dyDescent="0.2">
      <c r="A28" s="13" t="s">
        <v>219</v>
      </c>
    </row>
    <row r="29" spans="1:6" x14ac:dyDescent="0.2">
      <c r="A29" s="13" t="s">
        <v>220</v>
      </c>
      <c r="B29" s="56"/>
      <c r="C29" s="56"/>
      <c r="D29" s="56"/>
      <c r="E29" s="56"/>
    </row>
    <row r="34" spans="1:5" ht="13.15" customHeight="1" x14ac:dyDescent="0.2">
      <c r="A34" s="28" t="s">
        <v>213</v>
      </c>
      <c r="B34" s="28"/>
      <c r="C34" s="28"/>
      <c r="D34" s="28"/>
      <c r="E34" s="28"/>
    </row>
    <row r="35" spans="1:5" x14ac:dyDescent="0.2">
      <c r="A35" s="13" t="s">
        <v>214</v>
      </c>
    </row>
  </sheetData>
  <mergeCells count="5">
    <mergeCell ref="K2:L2"/>
    <mergeCell ref="A1:E1"/>
    <mergeCell ref="A3:B3"/>
    <mergeCell ref="A12:B12"/>
    <mergeCell ref="H2:I2"/>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9"/>
  <sheetViews>
    <sheetView workbookViewId="0"/>
  </sheetViews>
  <sheetFormatPr defaultRowHeight="15" x14ac:dyDescent="0.25"/>
  <cols>
    <col min="1" max="1" width="16.85546875" customWidth="1"/>
    <col min="3" max="3" width="22.28515625" bestFit="1" customWidth="1"/>
    <col min="9" max="9" width="10.140625" bestFit="1" customWidth="1"/>
    <col min="10" max="10" width="12.85546875" customWidth="1"/>
    <col min="11" max="11" width="12.140625" customWidth="1"/>
  </cols>
  <sheetData>
    <row r="1" spans="1:12" x14ac:dyDescent="0.25">
      <c r="A1" t="s">
        <v>41</v>
      </c>
      <c r="B1" t="s">
        <v>58</v>
      </c>
      <c r="C1" t="s">
        <v>36</v>
      </c>
      <c r="D1" t="s">
        <v>59</v>
      </c>
      <c r="I1" t="s">
        <v>54</v>
      </c>
      <c r="J1" t="s">
        <v>55</v>
      </c>
      <c r="K1" t="s">
        <v>56</v>
      </c>
      <c r="L1" t="s">
        <v>57</v>
      </c>
    </row>
    <row r="2" spans="1:12" x14ac:dyDescent="0.25">
      <c r="A2" t="str">
        <f>C2&amp;B2</f>
        <v>EMPLOYEE ONLY10000</v>
      </c>
      <c r="B2" s="3">
        <v>10000</v>
      </c>
      <c r="C2" t="s">
        <v>55</v>
      </c>
      <c r="D2" s="119">
        <f>VLOOKUP(B2, $I$2:$L$18, MATCH(C2, $I$1:$L$1, 0), FALSE)</f>
        <v>0.2</v>
      </c>
      <c r="I2" s="3">
        <v>10000</v>
      </c>
      <c r="J2" s="119">
        <v>0.2</v>
      </c>
      <c r="K2" s="119">
        <v>0.35</v>
      </c>
      <c r="L2" s="119">
        <v>0.25</v>
      </c>
    </row>
    <row r="3" spans="1:12" x14ac:dyDescent="0.25">
      <c r="A3" t="str">
        <f t="shared" ref="A3:A52" si="0">C3&amp;B3</f>
        <v>FAMILY PLAN10000</v>
      </c>
      <c r="B3" s="3">
        <v>10000</v>
      </c>
      <c r="C3" t="s">
        <v>56</v>
      </c>
      <c r="D3" s="119">
        <f t="shared" ref="D3:D52" si="1">VLOOKUP(B3, $I$2:$L$18, MATCH(C3, $I$1:$L$1, 0), FALSE)</f>
        <v>0.35</v>
      </c>
      <c r="I3" s="3">
        <v>20000</v>
      </c>
      <c r="J3" s="119">
        <v>0.4</v>
      </c>
      <c r="K3" s="119">
        <v>0.7</v>
      </c>
      <c r="L3" s="119">
        <v>0.5</v>
      </c>
    </row>
    <row r="4" spans="1:12" x14ac:dyDescent="0.25">
      <c r="A4" t="str">
        <f t="shared" si="0"/>
        <v>MODIFIED FAMILY PLAN10000</v>
      </c>
      <c r="B4" s="3">
        <v>10000</v>
      </c>
      <c r="C4" t="s">
        <v>57</v>
      </c>
      <c r="D4" s="119">
        <f t="shared" si="1"/>
        <v>0.25</v>
      </c>
      <c r="I4" s="3">
        <v>30000</v>
      </c>
      <c r="J4" s="119">
        <v>0.6</v>
      </c>
      <c r="K4" s="119">
        <v>1.05</v>
      </c>
      <c r="L4" s="119">
        <v>0.75</v>
      </c>
    </row>
    <row r="5" spans="1:12" x14ac:dyDescent="0.25">
      <c r="A5" t="str">
        <f t="shared" si="0"/>
        <v>EMPLOYEE ONLY20000</v>
      </c>
      <c r="B5" s="3">
        <v>20000</v>
      </c>
      <c r="C5" t="s">
        <v>55</v>
      </c>
      <c r="D5" s="119">
        <f t="shared" si="1"/>
        <v>0.4</v>
      </c>
      <c r="I5" s="3">
        <v>40000</v>
      </c>
      <c r="J5" s="119">
        <v>0.8</v>
      </c>
      <c r="K5" s="119">
        <v>1.4</v>
      </c>
      <c r="L5" s="119">
        <v>1</v>
      </c>
    </row>
    <row r="6" spans="1:12" x14ac:dyDescent="0.25">
      <c r="A6" t="str">
        <f t="shared" si="0"/>
        <v>FAMILY PLAN20000</v>
      </c>
      <c r="B6" s="3">
        <v>20000</v>
      </c>
      <c r="C6" t="s">
        <v>56</v>
      </c>
      <c r="D6" s="119">
        <f t="shared" si="1"/>
        <v>0.7</v>
      </c>
      <c r="I6" s="3">
        <v>50000</v>
      </c>
      <c r="J6" s="119">
        <v>1</v>
      </c>
      <c r="K6" s="119">
        <v>1.75</v>
      </c>
      <c r="L6" s="119">
        <v>1.25</v>
      </c>
    </row>
    <row r="7" spans="1:12" x14ac:dyDescent="0.25">
      <c r="A7" t="str">
        <f t="shared" si="0"/>
        <v>MODIFIED FAMILY PLAN20000</v>
      </c>
      <c r="B7" s="3">
        <v>20000</v>
      </c>
      <c r="C7" t="s">
        <v>57</v>
      </c>
      <c r="D7" s="119">
        <f t="shared" si="1"/>
        <v>0.5</v>
      </c>
      <c r="I7" s="3">
        <v>60000</v>
      </c>
      <c r="J7" s="119">
        <v>1.2</v>
      </c>
      <c r="K7" s="119">
        <v>2.1</v>
      </c>
      <c r="L7" s="119">
        <v>1.5</v>
      </c>
    </row>
    <row r="8" spans="1:12" x14ac:dyDescent="0.25">
      <c r="A8" t="str">
        <f t="shared" si="0"/>
        <v>EMPLOYEE ONLY30000</v>
      </c>
      <c r="B8" s="3">
        <v>30000</v>
      </c>
      <c r="C8" t="s">
        <v>55</v>
      </c>
      <c r="D8" s="119">
        <f t="shared" si="1"/>
        <v>0.6</v>
      </c>
      <c r="I8" s="3">
        <v>70000</v>
      </c>
      <c r="J8" s="119">
        <v>1.4</v>
      </c>
      <c r="K8" s="119">
        <v>2.4500000000000002</v>
      </c>
      <c r="L8" s="119">
        <v>1.75</v>
      </c>
    </row>
    <row r="9" spans="1:12" x14ac:dyDescent="0.25">
      <c r="A9" t="str">
        <f t="shared" si="0"/>
        <v>FAMILY PLAN30000</v>
      </c>
      <c r="B9" s="3">
        <v>30000</v>
      </c>
      <c r="C9" t="s">
        <v>56</v>
      </c>
      <c r="D9" s="119">
        <f t="shared" si="1"/>
        <v>1.05</v>
      </c>
      <c r="I9" s="3">
        <v>80000</v>
      </c>
      <c r="J9" s="119">
        <v>1.6</v>
      </c>
      <c r="K9" s="119">
        <v>2.8</v>
      </c>
      <c r="L9" s="119">
        <v>2</v>
      </c>
    </row>
    <row r="10" spans="1:12" x14ac:dyDescent="0.25">
      <c r="A10" t="str">
        <f t="shared" si="0"/>
        <v>MODIFIED FAMILY PLAN30000</v>
      </c>
      <c r="B10" s="3">
        <v>30000</v>
      </c>
      <c r="C10" t="s">
        <v>57</v>
      </c>
      <c r="D10" s="119">
        <f t="shared" si="1"/>
        <v>0.75</v>
      </c>
      <c r="I10" s="3">
        <v>90000</v>
      </c>
      <c r="J10" s="119">
        <v>1.8</v>
      </c>
      <c r="K10" s="119">
        <v>3.15</v>
      </c>
      <c r="L10" s="119">
        <v>2.25</v>
      </c>
    </row>
    <row r="11" spans="1:12" x14ac:dyDescent="0.25">
      <c r="A11" t="str">
        <f t="shared" si="0"/>
        <v>EMPLOYEE ONLY40000</v>
      </c>
      <c r="B11" s="3">
        <v>40000</v>
      </c>
      <c r="C11" t="s">
        <v>55</v>
      </c>
      <c r="D11" s="119">
        <f t="shared" si="1"/>
        <v>0.8</v>
      </c>
      <c r="I11" s="3">
        <v>100000</v>
      </c>
      <c r="J11" s="119">
        <v>2</v>
      </c>
      <c r="K11" s="119">
        <v>3.5</v>
      </c>
      <c r="L11" s="119">
        <v>2.5</v>
      </c>
    </row>
    <row r="12" spans="1:12" x14ac:dyDescent="0.25">
      <c r="A12" t="str">
        <f t="shared" si="0"/>
        <v>FAMILY PLAN40000</v>
      </c>
      <c r="B12" s="3">
        <v>40000</v>
      </c>
      <c r="C12" t="s">
        <v>56</v>
      </c>
      <c r="D12" s="119">
        <f t="shared" si="1"/>
        <v>1.4</v>
      </c>
      <c r="I12" s="3">
        <v>125000</v>
      </c>
      <c r="J12" s="119">
        <v>2.5</v>
      </c>
      <c r="K12" s="119">
        <v>4.38</v>
      </c>
      <c r="L12" s="119">
        <v>3.13</v>
      </c>
    </row>
    <row r="13" spans="1:12" x14ac:dyDescent="0.25">
      <c r="A13" t="str">
        <f t="shared" si="0"/>
        <v>MODIFIED FAMILY PLAN40000</v>
      </c>
      <c r="B13" s="3">
        <v>40000</v>
      </c>
      <c r="C13" t="s">
        <v>57</v>
      </c>
      <c r="D13" s="119">
        <f t="shared" si="1"/>
        <v>1</v>
      </c>
      <c r="I13" s="3">
        <v>150000</v>
      </c>
      <c r="J13" s="119">
        <v>3</v>
      </c>
      <c r="K13" s="119">
        <v>5.25</v>
      </c>
      <c r="L13" s="119">
        <v>3.75</v>
      </c>
    </row>
    <row r="14" spans="1:12" x14ac:dyDescent="0.25">
      <c r="A14" t="str">
        <f t="shared" si="0"/>
        <v>EMPLOYEE ONLY50000</v>
      </c>
      <c r="B14" s="3">
        <v>50000</v>
      </c>
      <c r="C14" t="s">
        <v>55</v>
      </c>
      <c r="D14" s="119">
        <f t="shared" si="1"/>
        <v>1</v>
      </c>
      <c r="I14" s="3">
        <v>175000</v>
      </c>
      <c r="J14" s="119">
        <v>3.5</v>
      </c>
      <c r="K14" s="119">
        <v>6.13</v>
      </c>
      <c r="L14" s="119">
        <v>4.38</v>
      </c>
    </row>
    <row r="15" spans="1:12" x14ac:dyDescent="0.25">
      <c r="A15" t="str">
        <f t="shared" si="0"/>
        <v>FAMILY PLAN50000</v>
      </c>
      <c r="B15" s="3">
        <v>50000</v>
      </c>
      <c r="C15" t="s">
        <v>56</v>
      </c>
      <c r="D15" s="119">
        <f t="shared" si="1"/>
        <v>1.75</v>
      </c>
      <c r="I15" s="3">
        <v>200000</v>
      </c>
      <c r="J15" s="119">
        <v>4</v>
      </c>
      <c r="K15" s="119">
        <v>7</v>
      </c>
      <c r="L15" s="119">
        <v>5</v>
      </c>
    </row>
    <row r="16" spans="1:12" x14ac:dyDescent="0.25">
      <c r="A16" t="str">
        <f t="shared" si="0"/>
        <v>MODIFIED FAMILY PLAN50000</v>
      </c>
      <c r="B16" s="3">
        <v>50000</v>
      </c>
      <c r="C16" t="s">
        <v>57</v>
      </c>
      <c r="D16" s="119">
        <f t="shared" si="1"/>
        <v>1.25</v>
      </c>
      <c r="I16" s="3">
        <v>300000</v>
      </c>
      <c r="J16" s="119">
        <v>6</v>
      </c>
      <c r="K16" s="119">
        <v>10.5</v>
      </c>
      <c r="L16" s="119">
        <v>7.5</v>
      </c>
    </row>
    <row r="17" spans="1:13" x14ac:dyDescent="0.25">
      <c r="A17" t="str">
        <f t="shared" si="0"/>
        <v>EMPLOYEE ONLY60000</v>
      </c>
      <c r="B17" s="3">
        <v>60000</v>
      </c>
      <c r="C17" t="s">
        <v>55</v>
      </c>
      <c r="D17" s="119">
        <f t="shared" si="1"/>
        <v>1.2</v>
      </c>
      <c r="I17" s="3">
        <v>400000</v>
      </c>
      <c r="J17" s="119">
        <v>8</v>
      </c>
      <c r="K17" s="119">
        <v>14</v>
      </c>
      <c r="L17" s="119">
        <v>10</v>
      </c>
    </row>
    <row r="18" spans="1:13" x14ac:dyDescent="0.25">
      <c r="A18" t="str">
        <f t="shared" si="0"/>
        <v>FAMILY PLAN60000</v>
      </c>
      <c r="B18" s="3">
        <v>60000</v>
      </c>
      <c r="C18" t="s">
        <v>56</v>
      </c>
      <c r="D18" s="119">
        <f t="shared" si="1"/>
        <v>2.1</v>
      </c>
      <c r="I18" s="3">
        <v>500000</v>
      </c>
      <c r="J18" s="119">
        <v>10</v>
      </c>
      <c r="K18" s="119">
        <v>17.5</v>
      </c>
      <c r="L18" s="119">
        <v>12.5</v>
      </c>
    </row>
    <row r="19" spans="1:13" x14ac:dyDescent="0.25">
      <c r="A19" t="str">
        <f t="shared" si="0"/>
        <v>MODIFIED FAMILY PLAN60000</v>
      </c>
      <c r="B19" s="3">
        <v>60000</v>
      </c>
      <c r="C19" t="s">
        <v>57</v>
      </c>
      <c r="D19" s="119">
        <f t="shared" si="1"/>
        <v>1.5</v>
      </c>
    </row>
    <row r="20" spans="1:13" x14ac:dyDescent="0.25">
      <c r="A20" t="str">
        <f t="shared" si="0"/>
        <v>EMPLOYEE ONLY70000</v>
      </c>
      <c r="B20" s="3">
        <v>70000</v>
      </c>
      <c r="C20" t="s">
        <v>55</v>
      </c>
      <c r="D20" s="119">
        <f t="shared" si="1"/>
        <v>1.4</v>
      </c>
    </row>
    <row r="21" spans="1:13" x14ac:dyDescent="0.25">
      <c r="A21" t="str">
        <f t="shared" si="0"/>
        <v>FAMILY PLAN70000</v>
      </c>
      <c r="B21" s="3">
        <v>70000</v>
      </c>
      <c r="C21" t="s">
        <v>56</v>
      </c>
      <c r="D21" s="119">
        <f t="shared" si="1"/>
        <v>2.4500000000000002</v>
      </c>
    </row>
    <row r="22" spans="1:13" ht="16.5" x14ac:dyDescent="0.25">
      <c r="A22" t="str">
        <f t="shared" si="0"/>
        <v>MODIFIED FAMILY PLAN70000</v>
      </c>
      <c r="B22" s="3">
        <v>70000</v>
      </c>
      <c r="C22" t="s">
        <v>57</v>
      </c>
      <c r="D22" s="119">
        <f t="shared" si="1"/>
        <v>1.75</v>
      </c>
      <c r="I22" s="74"/>
      <c r="J22" s="3"/>
      <c r="K22" s="1"/>
      <c r="L22" s="1"/>
      <c r="M22" s="1"/>
    </row>
    <row r="23" spans="1:13" ht="16.5" x14ac:dyDescent="0.25">
      <c r="A23" t="str">
        <f t="shared" si="0"/>
        <v>EMPLOYEE ONLY80000</v>
      </c>
      <c r="B23" s="3">
        <v>80000</v>
      </c>
      <c r="C23" t="s">
        <v>55</v>
      </c>
      <c r="D23" s="119">
        <f t="shared" si="1"/>
        <v>1.6</v>
      </c>
      <c r="I23" s="74"/>
      <c r="J23" s="3"/>
      <c r="K23" s="1"/>
      <c r="L23" s="1"/>
      <c r="M23" s="1"/>
    </row>
    <row r="24" spans="1:13" ht="16.5" x14ac:dyDescent="0.25">
      <c r="A24" t="str">
        <f t="shared" si="0"/>
        <v>FAMILY PLAN80000</v>
      </c>
      <c r="B24" s="3">
        <v>80000</v>
      </c>
      <c r="C24" t="s">
        <v>56</v>
      </c>
      <c r="D24" s="119">
        <f t="shared" si="1"/>
        <v>2.8</v>
      </c>
      <c r="I24" s="74"/>
      <c r="J24" s="3"/>
      <c r="K24" s="1"/>
      <c r="L24" s="1"/>
      <c r="M24" s="1"/>
    </row>
    <row r="25" spans="1:13" ht="16.5" x14ac:dyDescent="0.25">
      <c r="A25" t="str">
        <f t="shared" si="0"/>
        <v>MODIFIED FAMILY PLAN80000</v>
      </c>
      <c r="B25" s="3">
        <v>80000</v>
      </c>
      <c r="C25" t="s">
        <v>57</v>
      </c>
      <c r="D25" s="119">
        <f t="shared" si="1"/>
        <v>2</v>
      </c>
      <c r="I25" s="74"/>
      <c r="J25" s="3"/>
      <c r="K25" s="1"/>
      <c r="L25" s="1"/>
      <c r="M25" s="1"/>
    </row>
    <row r="26" spans="1:13" ht="16.5" x14ac:dyDescent="0.25">
      <c r="A26" t="str">
        <f t="shared" si="0"/>
        <v>EMPLOYEE ONLY90000</v>
      </c>
      <c r="B26" s="3">
        <v>90000</v>
      </c>
      <c r="C26" t="s">
        <v>55</v>
      </c>
      <c r="D26" s="119">
        <f t="shared" si="1"/>
        <v>1.8</v>
      </c>
      <c r="I26" s="74"/>
      <c r="J26" s="3"/>
      <c r="K26" s="1"/>
      <c r="L26" s="1"/>
      <c r="M26" s="1"/>
    </row>
    <row r="27" spans="1:13" ht="16.5" x14ac:dyDescent="0.25">
      <c r="A27" t="str">
        <f t="shared" si="0"/>
        <v>FAMILY PLAN90000</v>
      </c>
      <c r="B27" s="3">
        <v>90000</v>
      </c>
      <c r="C27" t="s">
        <v>56</v>
      </c>
      <c r="D27" s="119">
        <f t="shared" si="1"/>
        <v>3.15</v>
      </c>
      <c r="I27" s="74"/>
      <c r="J27" s="3"/>
      <c r="K27" s="1"/>
      <c r="L27" s="1"/>
      <c r="M27" s="1"/>
    </row>
    <row r="28" spans="1:13" ht="16.5" x14ac:dyDescent="0.25">
      <c r="A28" t="str">
        <f t="shared" si="0"/>
        <v>MODIFIED FAMILY PLAN90000</v>
      </c>
      <c r="B28" s="3">
        <v>90000</v>
      </c>
      <c r="C28" t="s">
        <v>57</v>
      </c>
      <c r="D28" s="119">
        <f t="shared" si="1"/>
        <v>2.25</v>
      </c>
      <c r="I28" s="74"/>
      <c r="J28" s="3"/>
      <c r="K28" s="1"/>
      <c r="L28" s="1"/>
      <c r="M28" s="1"/>
    </row>
    <row r="29" spans="1:13" ht="16.5" x14ac:dyDescent="0.25">
      <c r="A29" t="str">
        <f t="shared" si="0"/>
        <v>EMPLOYEE ONLY100000</v>
      </c>
      <c r="B29" s="3">
        <v>100000</v>
      </c>
      <c r="C29" t="s">
        <v>55</v>
      </c>
      <c r="D29" s="119">
        <f t="shared" si="1"/>
        <v>2</v>
      </c>
      <c r="I29" s="74"/>
      <c r="J29" s="3"/>
      <c r="K29" s="1"/>
      <c r="L29" s="1"/>
      <c r="M29" s="1"/>
    </row>
    <row r="30" spans="1:13" ht="16.5" x14ac:dyDescent="0.25">
      <c r="A30" t="str">
        <f t="shared" si="0"/>
        <v>FAMILY PLAN100000</v>
      </c>
      <c r="B30" s="3">
        <v>100000</v>
      </c>
      <c r="C30" t="s">
        <v>56</v>
      </c>
      <c r="D30" s="119">
        <f t="shared" si="1"/>
        <v>3.5</v>
      </c>
      <c r="I30" s="74"/>
      <c r="J30" s="3"/>
      <c r="K30" s="1"/>
      <c r="L30" s="1"/>
      <c r="M30" s="1"/>
    </row>
    <row r="31" spans="1:13" ht="16.5" x14ac:dyDescent="0.25">
      <c r="A31" t="str">
        <f t="shared" si="0"/>
        <v>MODIFIED FAMILY PLAN100000</v>
      </c>
      <c r="B31" s="3">
        <v>100000</v>
      </c>
      <c r="C31" t="s">
        <v>57</v>
      </c>
      <c r="D31" s="119">
        <f t="shared" si="1"/>
        <v>2.5</v>
      </c>
      <c r="I31" s="74"/>
      <c r="J31" s="3"/>
      <c r="K31" s="1"/>
      <c r="L31" s="1"/>
      <c r="M31" s="1"/>
    </row>
    <row r="32" spans="1:13" ht="16.5" x14ac:dyDescent="0.25">
      <c r="A32" t="str">
        <f t="shared" si="0"/>
        <v>EMPLOYEE ONLY125000</v>
      </c>
      <c r="B32" s="3">
        <v>125000</v>
      </c>
      <c r="C32" t="s">
        <v>55</v>
      </c>
      <c r="D32" s="119">
        <f t="shared" si="1"/>
        <v>2.5</v>
      </c>
      <c r="I32" s="74"/>
      <c r="J32" s="3"/>
      <c r="K32" s="1"/>
      <c r="L32" s="1"/>
      <c r="M32" s="1"/>
    </row>
    <row r="33" spans="1:13" ht="16.5" x14ac:dyDescent="0.25">
      <c r="A33" t="str">
        <f t="shared" si="0"/>
        <v>FAMILY PLAN125000</v>
      </c>
      <c r="B33" s="3">
        <v>125000</v>
      </c>
      <c r="C33" t="s">
        <v>56</v>
      </c>
      <c r="D33" s="119">
        <f t="shared" si="1"/>
        <v>4.38</v>
      </c>
      <c r="I33" s="74"/>
      <c r="J33" s="3"/>
      <c r="K33" s="1"/>
      <c r="L33" s="1"/>
      <c r="M33" s="1"/>
    </row>
    <row r="34" spans="1:13" ht="16.5" x14ac:dyDescent="0.25">
      <c r="A34" t="str">
        <f t="shared" si="0"/>
        <v>MODIFIED FAMILY PLAN125000</v>
      </c>
      <c r="B34" s="3">
        <v>125000</v>
      </c>
      <c r="C34" t="s">
        <v>57</v>
      </c>
      <c r="D34" s="119">
        <f t="shared" si="1"/>
        <v>3.13</v>
      </c>
      <c r="I34" s="74"/>
      <c r="J34" s="3"/>
      <c r="K34" s="1"/>
      <c r="L34" s="1"/>
      <c r="M34" s="1"/>
    </row>
    <row r="35" spans="1:13" ht="16.5" x14ac:dyDescent="0.25">
      <c r="A35" t="str">
        <f t="shared" si="0"/>
        <v>EMPLOYEE ONLY150000</v>
      </c>
      <c r="B35" s="3">
        <v>150000</v>
      </c>
      <c r="C35" t="s">
        <v>55</v>
      </c>
      <c r="D35" s="119">
        <f t="shared" si="1"/>
        <v>3</v>
      </c>
      <c r="I35" s="74"/>
      <c r="J35" s="3"/>
      <c r="K35" s="1"/>
      <c r="L35" s="1"/>
      <c r="M35" s="1"/>
    </row>
    <row r="36" spans="1:13" ht="16.5" x14ac:dyDescent="0.25">
      <c r="A36" t="str">
        <f t="shared" si="0"/>
        <v>FAMILY PLAN150000</v>
      </c>
      <c r="B36" s="3">
        <v>150000</v>
      </c>
      <c r="C36" t="s">
        <v>56</v>
      </c>
      <c r="D36" s="119">
        <f t="shared" si="1"/>
        <v>5.25</v>
      </c>
      <c r="I36" s="74"/>
      <c r="J36" s="3"/>
      <c r="K36" s="1"/>
      <c r="L36" s="1"/>
      <c r="M36" s="1"/>
    </row>
    <row r="37" spans="1:13" ht="16.5" x14ac:dyDescent="0.25">
      <c r="A37" t="str">
        <f t="shared" si="0"/>
        <v>MODIFIED FAMILY PLAN150000</v>
      </c>
      <c r="B37" s="3">
        <v>150000</v>
      </c>
      <c r="C37" t="s">
        <v>57</v>
      </c>
      <c r="D37" s="119">
        <f t="shared" si="1"/>
        <v>3.75</v>
      </c>
      <c r="I37" s="74"/>
      <c r="J37" s="3"/>
      <c r="K37" s="1"/>
      <c r="L37" s="1"/>
      <c r="M37" s="1"/>
    </row>
    <row r="38" spans="1:13" ht="16.5" x14ac:dyDescent="0.25">
      <c r="A38" t="str">
        <f t="shared" si="0"/>
        <v>EMPLOYEE ONLY175000</v>
      </c>
      <c r="B38" s="3">
        <v>175000</v>
      </c>
      <c r="C38" t="s">
        <v>55</v>
      </c>
      <c r="D38" s="119">
        <f t="shared" si="1"/>
        <v>3.5</v>
      </c>
      <c r="I38" s="74"/>
      <c r="J38" s="3"/>
      <c r="K38" s="1"/>
      <c r="L38" s="1"/>
      <c r="M38" s="1"/>
    </row>
    <row r="39" spans="1:13" ht="16.5" x14ac:dyDescent="0.25">
      <c r="A39" t="str">
        <f t="shared" si="0"/>
        <v>FAMILY PLAN175000</v>
      </c>
      <c r="B39" s="3">
        <v>175000</v>
      </c>
      <c r="C39" t="s">
        <v>56</v>
      </c>
      <c r="D39" s="119">
        <f t="shared" si="1"/>
        <v>6.13</v>
      </c>
      <c r="I39" s="75"/>
    </row>
    <row r="40" spans="1:13" ht="16.5" x14ac:dyDescent="0.25">
      <c r="A40" t="str">
        <f t="shared" si="0"/>
        <v>MODIFIED FAMILY PLAN175000</v>
      </c>
      <c r="B40" s="3">
        <v>175000</v>
      </c>
      <c r="C40" t="s">
        <v>57</v>
      </c>
      <c r="D40" s="119">
        <f t="shared" si="1"/>
        <v>4.38</v>
      </c>
      <c r="I40" s="75"/>
    </row>
    <row r="41" spans="1:13" ht="16.5" x14ac:dyDescent="0.25">
      <c r="A41" t="str">
        <f t="shared" si="0"/>
        <v>EMPLOYEE ONLY200000</v>
      </c>
      <c r="B41" s="3">
        <v>200000</v>
      </c>
      <c r="C41" t="s">
        <v>55</v>
      </c>
      <c r="D41" s="119">
        <f t="shared" si="1"/>
        <v>4</v>
      </c>
      <c r="I41" s="75"/>
    </row>
    <row r="42" spans="1:13" ht="16.5" x14ac:dyDescent="0.25">
      <c r="A42" t="str">
        <f t="shared" si="0"/>
        <v>FAMILY PLAN200000</v>
      </c>
      <c r="B42" s="3">
        <v>200000</v>
      </c>
      <c r="C42" t="s">
        <v>56</v>
      </c>
      <c r="D42" s="119">
        <f t="shared" si="1"/>
        <v>7</v>
      </c>
      <c r="I42" s="75"/>
    </row>
    <row r="43" spans="1:13" ht="16.5" x14ac:dyDescent="0.25">
      <c r="A43" t="str">
        <f t="shared" si="0"/>
        <v>MODIFIED FAMILY PLAN200000</v>
      </c>
      <c r="B43" s="3">
        <v>200000</v>
      </c>
      <c r="C43" t="s">
        <v>57</v>
      </c>
      <c r="D43" s="119">
        <f t="shared" si="1"/>
        <v>5</v>
      </c>
      <c r="I43" s="75"/>
    </row>
    <row r="44" spans="1:13" ht="16.5" x14ac:dyDescent="0.25">
      <c r="A44" t="str">
        <f t="shared" si="0"/>
        <v>EMPLOYEE ONLY300000</v>
      </c>
      <c r="B44" s="3">
        <v>300000</v>
      </c>
      <c r="C44" t="s">
        <v>55</v>
      </c>
      <c r="D44" s="119">
        <f t="shared" si="1"/>
        <v>6</v>
      </c>
      <c r="I44" s="75"/>
    </row>
    <row r="45" spans="1:13" ht="16.5" x14ac:dyDescent="0.25">
      <c r="A45" t="str">
        <f t="shared" si="0"/>
        <v>FAMILY PLAN300000</v>
      </c>
      <c r="B45" s="3">
        <v>300000</v>
      </c>
      <c r="C45" t="s">
        <v>56</v>
      </c>
      <c r="D45" s="119">
        <f t="shared" si="1"/>
        <v>10.5</v>
      </c>
      <c r="I45" s="75"/>
    </row>
    <row r="46" spans="1:13" ht="16.5" x14ac:dyDescent="0.25">
      <c r="A46" t="str">
        <f t="shared" si="0"/>
        <v>MODIFIED FAMILY PLAN300000</v>
      </c>
      <c r="B46" s="3">
        <v>300000</v>
      </c>
      <c r="C46" t="s">
        <v>57</v>
      </c>
      <c r="D46" s="119">
        <f t="shared" si="1"/>
        <v>7.5</v>
      </c>
      <c r="I46" s="75"/>
    </row>
    <row r="47" spans="1:13" ht="16.5" x14ac:dyDescent="0.25">
      <c r="A47" t="str">
        <f t="shared" si="0"/>
        <v>EMPLOYEE ONLY400000</v>
      </c>
      <c r="B47" s="3">
        <v>400000</v>
      </c>
      <c r="C47" t="s">
        <v>55</v>
      </c>
      <c r="D47" s="119">
        <f t="shared" si="1"/>
        <v>8</v>
      </c>
      <c r="I47" s="75"/>
    </row>
    <row r="48" spans="1:13" ht="16.5" x14ac:dyDescent="0.25">
      <c r="A48" t="str">
        <f t="shared" si="0"/>
        <v>FAMILY PLAN400000</v>
      </c>
      <c r="B48" s="3">
        <v>400000</v>
      </c>
      <c r="C48" t="s">
        <v>56</v>
      </c>
      <c r="D48" s="119">
        <f t="shared" si="1"/>
        <v>14</v>
      </c>
      <c r="I48" s="75"/>
    </row>
    <row r="49" spans="1:9" ht="16.5" x14ac:dyDescent="0.25">
      <c r="A49" t="str">
        <f t="shared" si="0"/>
        <v>MODIFIED FAMILY PLAN400000</v>
      </c>
      <c r="B49" s="3">
        <v>400000</v>
      </c>
      <c r="C49" t="s">
        <v>57</v>
      </c>
      <c r="D49" s="119">
        <f t="shared" si="1"/>
        <v>10</v>
      </c>
      <c r="I49" s="75"/>
    </row>
    <row r="50" spans="1:9" ht="16.5" x14ac:dyDescent="0.25">
      <c r="A50" t="str">
        <f t="shared" si="0"/>
        <v>EMPLOYEE ONLY500000</v>
      </c>
      <c r="B50" s="3">
        <v>500000</v>
      </c>
      <c r="C50" t="s">
        <v>55</v>
      </c>
      <c r="D50" s="119">
        <f t="shared" si="1"/>
        <v>10</v>
      </c>
      <c r="I50" s="75"/>
    </row>
    <row r="51" spans="1:9" ht="16.5" x14ac:dyDescent="0.25">
      <c r="A51" t="str">
        <f t="shared" si="0"/>
        <v>FAMILY PLAN500000</v>
      </c>
      <c r="B51" s="3">
        <v>500000</v>
      </c>
      <c r="C51" t="s">
        <v>56</v>
      </c>
      <c r="D51" s="119">
        <f t="shared" si="1"/>
        <v>17.5</v>
      </c>
      <c r="I51" s="75"/>
    </row>
    <row r="52" spans="1:9" ht="16.5" x14ac:dyDescent="0.25">
      <c r="A52" t="str">
        <f t="shared" si="0"/>
        <v>MODIFIED FAMILY PLAN500000</v>
      </c>
      <c r="B52" s="3">
        <v>500000</v>
      </c>
      <c r="C52" t="s">
        <v>57</v>
      </c>
      <c r="D52" s="119">
        <f t="shared" si="1"/>
        <v>12.5</v>
      </c>
      <c r="I52" s="75"/>
    </row>
    <row r="53" spans="1:9" ht="16.5" x14ac:dyDescent="0.25">
      <c r="I53" s="75"/>
    </row>
    <row r="54" spans="1:9" ht="16.5" x14ac:dyDescent="0.25">
      <c r="I54" s="75"/>
    </row>
    <row r="55" spans="1:9" ht="16.5" x14ac:dyDescent="0.25">
      <c r="I55" s="75"/>
    </row>
    <row r="56" spans="1:9" ht="16.5" x14ac:dyDescent="0.25">
      <c r="I56" s="75"/>
    </row>
    <row r="57" spans="1:9" ht="16.5" x14ac:dyDescent="0.25">
      <c r="I57" s="75"/>
    </row>
    <row r="58" spans="1:9" ht="16.5" x14ac:dyDescent="0.25">
      <c r="I58" s="75"/>
    </row>
    <row r="59" spans="1:9" ht="16.5" x14ac:dyDescent="0.25">
      <c r="I59" s="75"/>
    </row>
    <row r="60" spans="1:9" ht="16.5" x14ac:dyDescent="0.25">
      <c r="I60" s="75"/>
    </row>
    <row r="61" spans="1:9" ht="16.5" x14ac:dyDescent="0.25">
      <c r="I61" s="75"/>
    </row>
    <row r="62" spans="1:9" ht="16.5" x14ac:dyDescent="0.25">
      <c r="I62" s="75"/>
    </row>
    <row r="63" spans="1:9" ht="16.5" x14ac:dyDescent="0.25">
      <c r="I63" s="75"/>
    </row>
    <row r="64" spans="1:9" ht="16.5" x14ac:dyDescent="0.25">
      <c r="I64" s="75"/>
    </row>
    <row r="65" spans="9:9" ht="16.5" x14ac:dyDescent="0.25">
      <c r="I65" s="75"/>
    </row>
    <row r="66" spans="9:9" ht="16.5" x14ac:dyDescent="0.25">
      <c r="I66" s="75"/>
    </row>
    <row r="67" spans="9:9" ht="16.5" x14ac:dyDescent="0.25">
      <c r="I67" s="75"/>
    </row>
    <row r="68" spans="9:9" ht="16.5" x14ac:dyDescent="0.25">
      <c r="I68" s="75"/>
    </row>
    <row r="69" spans="9:9" ht="16.5" x14ac:dyDescent="0.25">
      <c r="I69" s="75"/>
    </row>
    <row r="70" spans="9:9" ht="16.5" x14ac:dyDescent="0.25">
      <c r="I70" s="75"/>
    </row>
    <row r="71" spans="9:9" ht="16.5" x14ac:dyDescent="0.25">
      <c r="I71" s="75"/>
    </row>
    <row r="72" spans="9:9" ht="16.5" x14ac:dyDescent="0.25">
      <c r="I72" s="75"/>
    </row>
    <row r="73" spans="9:9" ht="16.5" x14ac:dyDescent="0.25">
      <c r="I73" s="75"/>
    </row>
    <row r="74" spans="9:9" ht="16.5" x14ac:dyDescent="0.25">
      <c r="I74" s="75"/>
    </row>
    <row r="75" spans="9:9" ht="16.5" x14ac:dyDescent="0.25">
      <c r="I75" s="75"/>
    </row>
    <row r="76" spans="9:9" ht="16.5" x14ac:dyDescent="0.25">
      <c r="I76" s="75"/>
    </row>
    <row r="77" spans="9:9" ht="16.5" x14ac:dyDescent="0.25">
      <c r="I77" s="75"/>
    </row>
    <row r="78" spans="9:9" ht="16.5" x14ac:dyDescent="0.25">
      <c r="I78" s="75"/>
    </row>
    <row r="79" spans="9:9" ht="16.5" x14ac:dyDescent="0.25">
      <c r="I79" s="75"/>
    </row>
    <row r="80" spans="9:9" ht="16.5" x14ac:dyDescent="0.25">
      <c r="I80" s="75"/>
    </row>
    <row r="81" spans="9:9" ht="16.5" x14ac:dyDescent="0.25">
      <c r="I81" s="75"/>
    </row>
    <row r="82" spans="9:9" ht="16.5" x14ac:dyDescent="0.25">
      <c r="I82" s="75"/>
    </row>
    <row r="83" spans="9:9" ht="16.5" x14ac:dyDescent="0.25">
      <c r="I83" s="75"/>
    </row>
    <row r="84" spans="9:9" ht="16.5" x14ac:dyDescent="0.25">
      <c r="I84" s="75"/>
    </row>
    <row r="85" spans="9:9" ht="16.5" x14ac:dyDescent="0.25">
      <c r="I85" s="75"/>
    </row>
    <row r="86" spans="9:9" ht="16.5" x14ac:dyDescent="0.25">
      <c r="I86" s="75"/>
    </row>
    <row r="87" spans="9:9" ht="16.5" x14ac:dyDescent="0.25">
      <c r="I87" s="75"/>
    </row>
    <row r="88" spans="9:9" ht="16.5" x14ac:dyDescent="0.25">
      <c r="I88" s="75"/>
    </row>
    <row r="89" spans="9:9" ht="16.5" x14ac:dyDescent="0.25">
      <c r="I89" s="7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2"/>
  <sheetViews>
    <sheetView workbookViewId="0">
      <selection activeCell="L13" sqref="L13"/>
    </sheetView>
  </sheetViews>
  <sheetFormatPr defaultRowHeight="15" x14ac:dyDescent="0.25"/>
  <cols>
    <col min="1" max="1" width="39.7109375" customWidth="1"/>
    <col min="2" max="2" width="7.7109375" customWidth="1"/>
    <col min="3" max="6" width="10" customWidth="1"/>
  </cols>
  <sheetData>
    <row r="1" spans="1:12" ht="20.25" x14ac:dyDescent="0.3">
      <c r="A1" s="155" t="s">
        <v>222</v>
      </c>
      <c r="B1" s="156"/>
      <c r="C1" s="156"/>
      <c r="D1" s="156"/>
      <c r="E1" s="156"/>
      <c r="F1" s="156"/>
      <c r="G1" s="156"/>
      <c r="H1" s="68" t="s">
        <v>50</v>
      </c>
      <c r="I1" s="160" t="s">
        <v>223</v>
      </c>
      <c r="J1" s="160"/>
      <c r="K1" s="160"/>
      <c r="L1" s="160"/>
    </row>
    <row r="2" spans="1:12" x14ac:dyDescent="0.25">
      <c r="I2" s="68">
        <v>7</v>
      </c>
      <c r="J2" s="68">
        <v>30</v>
      </c>
      <c r="K2" s="68">
        <v>90</v>
      </c>
      <c r="L2" s="68">
        <v>180</v>
      </c>
    </row>
    <row r="3" spans="1:12" x14ac:dyDescent="0.25">
      <c r="A3" s="59" t="s">
        <v>224</v>
      </c>
      <c r="B3" s="60"/>
      <c r="C3" s="61">
        <f>ROUNDUP(Calculator!B4,-3)</f>
        <v>0</v>
      </c>
      <c r="H3" s="5" t="s">
        <v>16</v>
      </c>
      <c r="I3" s="133">
        <v>4.0899999999999999E-3</v>
      </c>
      <c r="J3" s="133">
        <v>1.5E-3</v>
      </c>
      <c r="K3" s="133">
        <v>1.34E-3</v>
      </c>
      <c r="L3" s="133">
        <v>5.8E-4</v>
      </c>
    </row>
    <row r="4" spans="1:12" ht="25.5" x14ac:dyDescent="0.25">
      <c r="A4" s="59" t="s">
        <v>203</v>
      </c>
      <c r="B4" s="63"/>
      <c r="C4" s="64" t="str">
        <f>Calculator!B18</f>
        <v>Select Age Group</v>
      </c>
      <c r="H4" s="5" t="s">
        <v>17</v>
      </c>
      <c r="I4" s="133">
        <v>4.0899999999999999E-3</v>
      </c>
      <c r="J4" s="133">
        <v>1.5E-3</v>
      </c>
      <c r="K4" s="133">
        <v>1.34E-3</v>
      </c>
      <c r="L4" s="133">
        <v>5.8E-4</v>
      </c>
    </row>
    <row r="5" spans="1:12" ht="51" x14ac:dyDescent="0.25">
      <c r="A5" s="59" t="s">
        <v>76</v>
      </c>
      <c r="C5" s="64" t="str">
        <f>Calculator!B24</f>
        <v>Select Waiting Period (days)</v>
      </c>
      <c r="H5" s="5" t="s">
        <v>18</v>
      </c>
      <c r="I5" s="133">
        <v>4.0899999999999999E-3</v>
      </c>
      <c r="J5" s="133">
        <v>1.5E-3</v>
      </c>
      <c r="K5" s="133">
        <v>1.34E-3</v>
      </c>
      <c r="L5" s="133">
        <v>5.8E-4</v>
      </c>
    </row>
    <row r="6" spans="1:12" x14ac:dyDescent="0.25">
      <c r="H6" s="5" t="s">
        <v>19</v>
      </c>
      <c r="I6" s="133">
        <v>4.3400000000000001E-3</v>
      </c>
      <c r="J6" s="133">
        <v>1.5900000000000001E-3</v>
      </c>
      <c r="K6" s="133">
        <v>1.42E-3</v>
      </c>
      <c r="L6" s="133">
        <v>6.6E-4</v>
      </c>
    </row>
    <row r="7" spans="1:12" x14ac:dyDescent="0.25">
      <c r="H7" s="5" t="s">
        <v>20</v>
      </c>
      <c r="I7" s="133">
        <v>4.9199999999999999E-3</v>
      </c>
      <c r="J7" s="133">
        <v>2.1700000000000001E-3</v>
      </c>
      <c r="K7" s="133">
        <v>1.75E-3</v>
      </c>
      <c r="L7" s="133">
        <v>1.01E-3</v>
      </c>
    </row>
    <row r="8" spans="1:12" x14ac:dyDescent="0.25">
      <c r="C8" s="157" t="s">
        <v>223</v>
      </c>
      <c r="D8" s="158"/>
      <c r="E8" s="158"/>
      <c r="F8" s="159"/>
      <c r="H8" s="5" t="s">
        <v>21</v>
      </c>
      <c r="I8" s="133">
        <v>5.3400000000000001E-3</v>
      </c>
      <c r="J8" s="133">
        <v>2.4199999999999998E-3</v>
      </c>
      <c r="K8" s="133">
        <v>2.1700000000000001E-3</v>
      </c>
      <c r="L8" s="133">
        <v>1.34E-3</v>
      </c>
    </row>
    <row r="9" spans="1:12" x14ac:dyDescent="0.25">
      <c r="C9" s="65">
        <v>7</v>
      </c>
      <c r="D9" s="65">
        <v>30</v>
      </c>
      <c r="E9" s="65">
        <v>90</v>
      </c>
      <c r="F9" s="65">
        <v>180</v>
      </c>
      <c r="H9" s="5" t="s">
        <v>22</v>
      </c>
      <c r="I9" s="133">
        <v>6.7600000000000004E-3</v>
      </c>
      <c r="J9" s="133">
        <v>3.0899999999999999E-3</v>
      </c>
      <c r="K9" s="133">
        <v>2.5899999999999999E-3</v>
      </c>
      <c r="L9" s="133">
        <v>2.0799999999999998E-3</v>
      </c>
    </row>
    <row r="10" spans="1:12" x14ac:dyDescent="0.25">
      <c r="A10" s="62" t="s">
        <v>225</v>
      </c>
      <c r="C10" s="66">
        <f>$C$3/12</f>
        <v>0</v>
      </c>
      <c r="D10" s="66">
        <f t="shared" ref="D10:F10" si="0">$C$3/12</f>
        <v>0</v>
      </c>
      <c r="E10" s="66">
        <f t="shared" si="0"/>
        <v>0</v>
      </c>
      <c r="F10" s="66">
        <f t="shared" si="0"/>
        <v>0</v>
      </c>
      <c r="H10" s="5" t="s">
        <v>23</v>
      </c>
      <c r="I10" s="133">
        <v>8.0099999999999998E-3</v>
      </c>
      <c r="J10" s="133">
        <v>4.4299999999999999E-3</v>
      </c>
      <c r="K10" s="133">
        <v>3.7499999999999999E-3</v>
      </c>
      <c r="L10" s="133">
        <v>3.3400000000000001E-3</v>
      </c>
    </row>
    <row r="11" spans="1:12" x14ac:dyDescent="0.25">
      <c r="A11" s="62" t="s">
        <v>226</v>
      </c>
      <c r="C11" s="67" t="e">
        <f>VLOOKUP($C$4, $H$3:$L$13, MATCH(C$9, $H$2:$L$2, 0), FALSE)</f>
        <v>#N/A</v>
      </c>
      <c r="D11" s="67" t="e">
        <f>VLOOKUP($C$4, $H$3:$L$13, MATCH(D$9, $H$2:$L$2, 0), FALSE)</f>
        <v>#N/A</v>
      </c>
      <c r="E11" s="67" t="e">
        <f>VLOOKUP($C$4, $H$3:$L$13, MATCH(E$9, $H$2:$L$2, 0), FALSE)</f>
        <v>#N/A</v>
      </c>
      <c r="F11" s="67" t="e">
        <f>VLOOKUP($C$4, $H$3:$L$13, MATCH(F$9, $H$2:$L$2, 0), FALSE)</f>
        <v>#N/A</v>
      </c>
      <c r="H11" s="5" t="s">
        <v>24</v>
      </c>
      <c r="I11" s="133">
        <v>1.11E-2</v>
      </c>
      <c r="J11" s="133">
        <v>7.2700000000000004E-3</v>
      </c>
      <c r="K11" s="133">
        <v>6.2599999999999999E-3</v>
      </c>
      <c r="L11" s="133">
        <v>5.9300000000000004E-3</v>
      </c>
    </row>
    <row r="12" spans="1:12" x14ac:dyDescent="0.25">
      <c r="A12" s="62" t="s">
        <v>227</v>
      </c>
      <c r="C12" s="66" t="e">
        <f>C10*C11</f>
        <v>#N/A</v>
      </c>
      <c r="D12" s="66" t="e">
        <f t="shared" ref="D12:F12" si="1">D10*D11</f>
        <v>#N/A</v>
      </c>
      <c r="E12" s="66" t="e">
        <f t="shared" si="1"/>
        <v>#N/A</v>
      </c>
      <c r="F12" s="66" t="e">
        <f t="shared" si="1"/>
        <v>#N/A</v>
      </c>
      <c r="H12" s="5" t="s">
        <v>25</v>
      </c>
      <c r="I12" s="133">
        <v>9.8399999999999998E-3</v>
      </c>
      <c r="J12" s="133">
        <v>5.6800000000000002E-3</v>
      </c>
      <c r="K12" s="133">
        <v>4.9199999999999999E-3</v>
      </c>
      <c r="L12" s="133">
        <v>4.4400000000000004E-3</v>
      </c>
    </row>
    <row r="13" spans="1:12" x14ac:dyDescent="0.25">
      <c r="A13" s="62" t="s">
        <v>228</v>
      </c>
      <c r="C13" s="66" t="e">
        <f>C12/2</f>
        <v>#N/A</v>
      </c>
      <c r="D13" s="66" t="e">
        <f t="shared" ref="D13:F13" si="2">D12/2</f>
        <v>#N/A</v>
      </c>
      <c r="E13" s="66" t="e">
        <f t="shared" si="2"/>
        <v>#N/A</v>
      </c>
      <c r="F13" s="66" t="e">
        <f t="shared" si="2"/>
        <v>#N/A</v>
      </c>
      <c r="H13" s="5" t="s">
        <v>26</v>
      </c>
      <c r="I13" s="133">
        <v>7.43E-3</v>
      </c>
      <c r="J13" s="133">
        <v>3.1700000000000001E-3</v>
      </c>
      <c r="K13" s="133">
        <v>2.6700000000000001E-3</v>
      </c>
      <c r="L13" s="133">
        <v>1.75E-3</v>
      </c>
    </row>
    <row r="14" spans="1:12" x14ac:dyDescent="0.25">
      <c r="A14" s="62" t="s">
        <v>229</v>
      </c>
      <c r="C14" s="66" t="e">
        <f>C12/4</f>
        <v>#N/A</v>
      </c>
      <c r="D14" s="66" t="e">
        <f t="shared" ref="D14:F14" si="3">D12/4</f>
        <v>#N/A</v>
      </c>
      <c r="E14" s="66" t="e">
        <f t="shared" si="3"/>
        <v>#N/A</v>
      </c>
      <c r="F14" s="66" t="e">
        <f t="shared" si="3"/>
        <v>#N/A</v>
      </c>
    </row>
    <row r="17" spans="1:2" x14ac:dyDescent="0.25">
      <c r="A17" s="62" t="s">
        <v>230</v>
      </c>
    </row>
    <row r="18" spans="1:2" x14ac:dyDescent="0.25">
      <c r="A18" s="62" t="s">
        <v>231</v>
      </c>
    </row>
    <row r="19" spans="1:2" x14ac:dyDescent="0.25">
      <c r="A19" s="62" t="s">
        <v>232</v>
      </c>
    </row>
    <row r="22" spans="1:2" x14ac:dyDescent="0.25">
      <c r="A22" s="73" t="s">
        <v>234</v>
      </c>
      <c r="B22" s="11" t="e">
        <f>VLOOKUP($C$4, $H$3:$L$13, MATCH(C$5, $H$2:$L$2, 0), FALSE)*C10</f>
        <v>#N/A</v>
      </c>
    </row>
  </sheetData>
  <mergeCells count="3">
    <mergeCell ref="A1:G1"/>
    <mergeCell ref="C8:F8"/>
    <mergeCell ref="I1:L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
  <sheetViews>
    <sheetView workbookViewId="0">
      <selection activeCell="B2" sqref="B2:B5"/>
    </sheetView>
  </sheetViews>
  <sheetFormatPr defaultRowHeight="15" x14ac:dyDescent="0.25"/>
  <cols>
    <col min="1" max="1" width="21.5703125" bestFit="1" customWidth="1"/>
  </cols>
  <sheetData>
    <row r="1" spans="1:2" x14ac:dyDescent="0.25">
      <c r="A1" s="2" t="s">
        <v>36</v>
      </c>
      <c r="B1" t="s">
        <v>59</v>
      </c>
    </row>
    <row r="2" spans="1:2" x14ac:dyDescent="0.25">
      <c r="A2" t="s">
        <v>11</v>
      </c>
      <c r="B2" s="9">
        <v>12.37</v>
      </c>
    </row>
    <row r="3" spans="1:2" x14ac:dyDescent="0.25">
      <c r="A3" t="s">
        <v>237</v>
      </c>
      <c r="B3" s="9">
        <v>16.93</v>
      </c>
    </row>
    <row r="4" spans="1:2" x14ac:dyDescent="0.25">
      <c r="A4" t="s">
        <v>13</v>
      </c>
      <c r="B4" s="9">
        <v>16.93</v>
      </c>
    </row>
    <row r="5" spans="1:2" x14ac:dyDescent="0.25">
      <c r="A5" t="s">
        <v>14</v>
      </c>
      <c r="B5" s="9">
        <v>18.440000000000001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2"/>
  <sheetViews>
    <sheetView workbookViewId="0">
      <selection activeCell="N21" sqref="N21"/>
    </sheetView>
  </sheetViews>
  <sheetFormatPr defaultRowHeight="12.75" x14ac:dyDescent="0.2"/>
  <cols>
    <col min="1" max="1" width="9.140625" style="7"/>
    <col min="2" max="2" width="12.85546875" style="7" customWidth="1"/>
    <col min="3" max="3" width="10" style="7" customWidth="1"/>
    <col min="4" max="4" width="17" style="7" customWidth="1"/>
    <col min="5" max="5" width="11.28515625" style="7" customWidth="1"/>
    <col min="6" max="6" width="10.140625" style="7" customWidth="1"/>
    <col min="7" max="7" width="10" style="7" customWidth="1"/>
    <col min="8" max="8" width="8.28515625" style="7" customWidth="1"/>
    <col min="9" max="9" width="10.7109375" style="7" customWidth="1"/>
    <col min="10" max="10" width="6.42578125" style="7" customWidth="1"/>
    <col min="11" max="11" width="10.42578125" style="7" customWidth="1"/>
    <col min="12" max="12" width="12" style="7" customWidth="1"/>
    <col min="13" max="13" width="14.140625" style="7" customWidth="1"/>
    <col min="14" max="14" width="13.7109375" style="7" customWidth="1"/>
    <col min="15" max="15" width="14.85546875" style="7" customWidth="1"/>
    <col min="16" max="257" width="9.140625" style="7"/>
    <col min="258" max="258" width="12.85546875" style="7" customWidth="1"/>
    <col min="259" max="259" width="10" style="7" customWidth="1"/>
    <col min="260" max="260" width="17" style="7" customWidth="1"/>
    <col min="261" max="261" width="11.28515625" style="7" customWidth="1"/>
    <col min="262" max="262" width="10.140625" style="7" customWidth="1"/>
    <col min="263" max="263" width="10" style="7" customWidth="1"/>
    <col min="264" max="264" width="8.28515625" style="7" customWidth="1"/>
    <col min="265" max="265" width="10.7109375" style="7" customWidth="1"/>
    <col min="266" max="266" width="6.42578125" style="7" customWidth="1"/>
    <col min="267" max="267" width="10.42578125" style="7" customWidth="1"/>
    <col min="268" max="268" width="12" style="7" customWidth="1"/>
    <col min="269" max="269" width="14.140625" style="7" customWidth="1"/>
    <col min="270" max="270" width="13.7109375" style="7" customWidth="1"/>
    <col min="271" max="271" width="14.85546875" style="7" customWidth="1"/>
    <col min="272" max="513" width="9.140625" style="7"/>
    <col min="514" max="514" width="12.85546875" style="7" customWidth="1"/>
    <col min="515" max="515" width="10" style="7" customWidth="1"/>
    <col min="516" max="516" width="17" style="7" customWidth="1"/>
    <col min="517" max="517" width="11.28515625" style="7" customWidth="1"/>
    <col min="518" max="518" width="10.140625" style="7" customWidth="1"/>
    <col min="519" max="519" width="10" style="7" customWidth="1"/>
    <col min="520" max="520" width="8.28515625" style="7" customWidth="1"/>
    <col min="521" max="521" width="10.7109375" style="7" customWidth="1"/>
    <col min="522" max="522" width="6.42578125" style="7" customWidth="1"/>
    <col min="523" max="523" width="10.42578125" style="7" customWidth="1"/>
    <col min="524" max="524" width="12" style="7" customWidth="1"/>
    <col min="525" max="525" width="14.140625" style="7" customWidth="1"/>
    <col min="526" max="526" width="13.7109375" style="7" customWidth="1"/>
    <col min="527" max="527" width="14.85546875" style="7" customWidth="1"/>
    <col min="528" max="769" width="9.140625" style="7"/>
    <col min="770" max="770" width="12.85546875" style="7" customWidth="1"/>
    <col min="771" max="771" width="10" style="7" customWidth="1"/>
    <col min="772" max="772" width="17" style="7" customWidth="1"/>
    <col min="773" max="773" width="11.28515625" style="7" customWidth="1"/>
    <col min="774" max="774" width="10.140625" style="7" customWidth="1"/>
    <col min="775" max="775" width="10" style="7" customWidth="1"/>
    <col min="776" max="776" width="8.28515625" style="7" customWidth="1"/>
    <col min="777" max="777" width="10.7109375" style="7" customWidth="1"/>
    <col min="778" max="778" width="6.42578125" style="7" customWidth="1"/>
    <col min="779" max="779" width="10.42578125" style="7" customWidth="1"/>
    <col min="780" max="780" width="12" style="7" customWidth="1"/>
    <col min="781" max="781" width="14.140625" style="7" customWidth="1"/>
    <col min="782" max="782" width="13.7109375" style="7" customWidth="1"/>
    <col min="783" max="783" width="14.85546875" style="7" customWidth="1"/>
    <col min="784" max="1025" width="9.140625" style="7"/>
    <col min="1026" max="1026" width="12.85546875" style="7" customWidth="1"/>
    <col min="1027" max="1027" width="10" style="7" customWidth="1"/>
    <col min="1028" max="1028" width="17" style="7" customWidth="1"/>
    <col min="1029" max="1029" width="11.28515625" style="7" customWidth="1"/>
    <col min="1030" max="1030" width="10.140625" style="7" customWidth="1"/>
    <col min="1031" max="1031" width="10" style="7" customWidth="1"/>
    <col min="1032" max="1032" width="8.28515625" style="7" customWidth="1"/>
    <col min="1033" max="1033" width="10.7109375" style="7" customWidth="1"/>
    <col min="1034" max="1034" width="6.42578125" style="7" customWidth="1"/>
    <col min="1035" max="1035" width="10.42578125" style="7" customWidth="1"/>
    <col min="1036" max="1036" width="12" style="7" customWidth="1"/>
    <col min="1037" max="1037" width="14.140625" style="7" customWidth="1"/>
    <col min="1038" max="1038" width="13.7109375" style="7" customWidth="1"/>
    <col min="1039" max="1039" width="14.85546875" style="7" customWidth="1"/>
    <col min="1040" max="1281" width="9.140625" style="7"/>
    <col min="1282" max="1282" width="12.85546875" style="7" customWidth="1"/>
    <col min="1283" max="1283" width="10" style="7" customWidth="1"/>
    <col min="1284" max="1284" width="17" style="7" customWidth="1"/>
    <col min="1285" max="1285" width="11.28515625" style="7" customWidth="1"/>
    <col min="1286" max="1286" width="10.140625" style="7" customWidth="1"/>
    <col min="1287" max="1287" width="10" style="7" customWidth="1"/>
    <col min="1288" max="1288" width="8.28515625" style="7" customWidth="1"/>
    <col min="1289" max="1289" width="10.7109375" style="7" customWidth="1"/>
    <col min="1290" max="1290" width="6.42578125" style="7" customWidth="1"/>
    <col min="1291" max="1291" width="10.42578125" style="7" customWidth="1"/>
    <col min="1292" max="1292" width="12" style="7" customWidth="1"/>
    <col min="1293" max="1293" width="14.140625" style="7" customWidth="1"/>
    <col min="1294" max="1294" width="13.7109375" style="7" customWidth="1"/>
    <col min="1295" max="1295" width="14.85546875" style="7" customWidth="1"/>
    <col min="1296" max="1537" width="9.140625" style="7"/>
    <col min="1538" max="1538" width="12.85546875" style="7" customWidth="1"/>
    <col min="1539" max="1539" width="10" style="7" customWidth="1"/>
    <col min="1540" max="1540" width="17" style="7" customWidth="1"/>
    <col min="1541" max="1541" width="11.28515625" style="7" customWidth="1"/>
    <col min="1542" max="1542" width="10.140625" style="7" customWidth="1"/>
    <col min="1543" max="1543" width="10" style="7" customWidth="1"/>
    <col min="1544" max="1544" width="8.28515625" style="7" customWidth="1"/>
    <col min="1545" max="1545" width="10.7109375" style="7" customWidth="1"/>
    <col min="1546" max="1546" width="6.42578125" style="7" customWidth="1"/>
    <col min="1547" max="1547" width="10.42578125" style="7" customWidth="1"/>
    <col min="1548" max="1548" width="12" style="7" customWidth="1"/>
    <col min="1549" max="1549" width="14.140625" style="7" customWidth="1"/>
    <col min="1550" max="1550" width="13.7109375" style="7" customWidth="1"/>
    <col min="1551" max="1551" width="14.85546875" style="7" customWidth="1"/>
    <col min="1552" max="1793" width="9.140625" style="7"/>
    <col min="1794" max="1794" width="12.85546875" style="7" customWidth="1"/>
    <col min="1795" max="1795" width="10" style="7" customWidth="1"/>
    <col min="1796" max="1796" width="17" style="7" customWidth="1"/>
    <col min="1797" max="1797" width="11.28515625" style="7" customWidth="1"/>
    <col min="1798" max="1798" width="10.140625" style="7" customWidth="1"/>
    <col min="1799" max="1799" width="10" style="7" customWidth="1"/>
    <col min="1800" max="1800" width="8.28515625" style="7" customWidth="1"/>
    <col min="1801" max="1801" width="10.7109375" style="7" customWidth="1"/>
    <col min="1802" max="1802" width="6.42578125" style="7" customWidth="1"/>
    <col min="1803" max="1803" width="10.42578125" style="7" customWidth="1"/>
    <col min="1804" max="1804" width="12" style="7" customWidth="1"/>
    <col min="1805" max="1805" width="14.140625" style="7" customWidth="1"/>
    <col min="1806" max="1806" width="13.7109375" style="7" customWidth="1"/>
    <col min="1807" max="1807" width="14.85546875" style="7" customWidth="1"/>
    <col min="1808" max="2049" width="9.140625" style="7"/>
    <col min="2050" max="2050" width="12.85546875" style="7" customWidth="1"/>
    <col min="2051" max="2051" width="10" style="7" customWidth="1"/>
    <col min="2052" max="2052" width="17" style="7" customWidth="1"/>
    <col min="2053" max="2053" width="11.28515625" style="7" customWidth="1"/>
    <col min="2054" max="2054" width="10.140625" style="7" customWidth="1"/>
    <col min="2055" max="2055" width="10" style="7" customWidth="1"/>
    <col min="2056" max="2056" width="8.28515625" style="7" customWidth="1"/>
    <col min="2057" max="2057" width="10.7109375" style="7" customWidth="1"/>
    <col min="2058" max="2058" width="6.42578125" style="7" customWidth="1"/>
    <col min="2059" max="2059" width="10.42578125" style="7" customWidth="1"/>
    <col min="2060" max="2060" width="12" style="7" customWidth="1"/>
    <col min="2061" max="2061" width="14.140625" style="7" customWidth="1"/>
    <col min="2062" max="2062" width="13.7109375" style="7" customWidth="1"/>
    <col min="2063" max="2063" width="14.85546875" style="7" customWidth="1"/>
    <col min="2064" max="2305" width="9.140625" style="7"/>
    <col min="2306" max="2306" width="12.85546875" style="7" customWidth="1"/>
    <col min="2307" max="2307" width="10" style="7" customWidth="1"/>
    <col min="2308" max="2308" width="17" style="7" customWidth="1"/>
    <col min="2309" max="2309" width="11.28515625" style="7" customWidth="1"/>
    <col min="2310" max="2310" width="10.140625" style="7" customWidth="1"/>
    <col min="2311" max="2311" width="10" style="7" customWidth="1"/>
    <col min="2312" max="2312" width="8.28515625" style="7" customWidth="1"/>
    <col min="2313" max="2313" width="10.7109375" style="7" customWidth="1"/>
    <col min="2314" max="2314" width="6.42578125" style="7" customWidth="1"/>
    <col min="2315" max="2315" width="10.42578125" style="7" customWidth="1"/>
    <col min="2316" max="2316" width="12" style="7" customWidth="1"/>
    <col min="2317" max="2317" width="14.140625" style="7" customWidth="1"/>
    <col min="2318" max="2318" width="13.7109375" style="7" customWidth="1"/>
    <col min="2319" max="2319" width="14.85546875" style="7" customWidth="1"/>
    <col min="2320" max="2561" width="9.140625" style="7"/>
    <col min="2562" max="2562" width="12.85546875" style="7" customWidth="1"/>
    <col min="2563" max="2563" width="10" style="7" customWidth="1"/>
    <col min="2564" max="2564" width="17" style="7" customWidth="1"/>
    <col min="2565" max="2565" width="11.28515625" style="7" customWidth="1"/>
    <col min="2566" max="2566" width="10.140625" style="7" customWidth="1"/>
    <col min="2567" max="2567" width="10" style="7" customWidth="1"/>
    <col min="2568" max="2568" width="8.28515625" style="7" customWidth="1"/>
    <col min="2569" max="2569" width="10.7109375" style="7" customWidth="1"/>
    <col min="2570" max="2570" width="6.42578125" style="7" customWidth="1"/>
    <col min="2571" max="2571" width="10.42578125" style="7" customWidth="1"/>
    <col min="2572" max="2572" width="12" style="7" customWidth="1"/>
    <col min="2573" max="2573" width="14.140625" style="7" customWidth="1"/>
    <col min="2574" max="2574" width="13.7109375" style="7" customWidth="1"/>
    <col min="2575" max="2575" width="14.85546875" style="7" customWidth="1"/>
    <col min="2576" max="2817" width="9.140625" style="7"/>
    <col min="2818" max="2818" width="12.85546875" style="7" customWidth="1"/>
    <col min="2819" max="2819" width="10" style="7" customWidth="1"/>
    <col min="2820" max="2820" width="17" style="7" customWidth="1"/>
    <col min="2821" max="2821" width="11.28515625" style="7" customWidth="1"/>
    <col min="2822" max="2822" width="10.140625" style="7" customWidth="1"/>
    <col min="2823" max="2823" width="10" style="7" customWidth="1"/>
    <col min="2824" max="2824" width="8.28515625" style="7" customWidth="1"/>
    <col min="2825" max="2825" width="10.7109375" style="7" customWidth="1"/>
    <col min="2826" max="2826" width="6.42578125" style="7" customWidth="1"/>
    <col min="2827" max="2827" width="10.42578125" style="7" customWidth="1"/>
    <col min="2828" max="2828" width="12" style="7" customWidth="1"/>
    <col min="2829" max="2829" width="14.140625" style="7" customWidth="1"/>
    <col min="2830" max="2830" width="13.7109375" style="7" customWidth="1"/>
    <col min="2831" max="2831" width="14.85546875" style="7" customWidth="1"/>
    <col min="2832" max="3073" width="9.140625" style="7"/>
    <col min="3074" max="3074" width="12.85546875" style="7" customWidth="1"/>
    <col min="3075" max="3075" width="10" style="7" customWidth="1"/>
    <col min="3076" max="3076" width="17" style="7" customWidth="1"/>
    <col min="3077" max="3077" width="11.28515625" style="7" customWidth="1"/>
    <col min="3078" max="3078" width="10.140625" style="7" customWidth="1"/>
    <col min="3079" max="3079" width="10" style="7" customWidth="1"/>
    <col min="3080" max="3080" width="8.28515625" style="7" customWidth="1"/>
    <col min="3081" max="3081" width="10.7109375" style="7" customWidth="1"/>
    <col min="3082" max="3082" width="6.42578125" style="7" customWidth="1"/>
    <col min="3083" max="3083" width="10.42578125" style="7" customWidth="1"/>
    <col min="3084" max="3084" width="12" style="7" customWidth="1"/>
    <col min="3085" max="3085" width="14.140625" style="7" customWidth="1"/>
    <col min="3086" max="3086" width="13.7109375" style="7" customWidth="1"/>
    <col min="3087" max="3087" width="14.85546875" style="7" customWidth="1"/>
    <col min="3088" max="3329" width="9.140625" style="7"/>
    <col min="3330" max="3330" width="12.85546875" style="7" customWidth="1"/>
    <col min="3331" max="3331" width="10" style="7" customWidth="1"/>
    <col min="3332" max="3332" width="17" style="7" customWidth="1"/>
    <col min="3333" max="3333" width="11.28515625" style="7" customWidth="1"/>
    <col min="3334" max="3334" width="10.140625" style="7" customWidth="1"/>
    <col min="3335" max="3335" width="10" style="7" customWidth="1"/>
    <col min="3336" max="3336" width="8.28515625" style="7" customWidth="1"/>
    <col min="3337" max="3337" width="10.7109375" style="7" customWidth="1"/>
    <col min="3338" max="3338" width="6.42578125" style="7" customWidth="1"/>
    <col min="3339" max="3339" width="10.42578125" style="7" customWidth="1"/>
    <col min="3340" max="3340" width="12" style="7" customWidth="1"/>
    <col min="3341" max="3341" width="14.140625" style="7" customWidth="1"/>
    <col min="3342" max="3342" width="13.7109375" style="7" customWidth="1"/>
    <col min="3343" max="3343" width="14.85546875" style="7" customWidth="1"/>
    <col min="3344" max="3585" width="9.140625" style="7"/>
    <col min="3586" max="3586" width="12.85546875" style="7" customWidth="1"/>
    <col min="3587" max="3587" width="10" style="7" customWidth="1"/>
    <col min="3588" max="3588" width="17" style="7" customWidth="1"/>
    <col min="3589" max="3589" width="11.28515625" style="7" customWidth="1"/>
    <col min="3590" max="3590" width="10.140625" style="7" customWidth="1"/>
    <col min="3591" max="3591" width="10" style="7" customWidth="1"/>
    <col min="3592" max="3592" width="8.28515625" style="7" customWidth="1"/>
    <col min="3593" max="3593" width="10.7109375" style="7" customWidth="1"/>
    <col min="3594" max="3594" width="6.42578125" style="7" customWidth="1"/>
    <col min="3595" max="3595" width="10.42578125" style="7" customWidth="1"/>
    <col min="3596" max="3596" width="12" style="7" customWidth="1"/>
    <col min="3597" max="3597" width="14.140625" style="7" customWidth="1"/>
    <col min="3598" max="3598" width="13.7109375" style="7" customWidth="1"/>
    <col min="3599" max="3599" width="14.85546875" style="7" customWidth="1"/>
    <col min="3600" max="3841" width="9.140625" style="7"/>
    <col min="3842" max="3842" width="12.85546875" style="7" customWidth="1"/>
    <col min="3843" max="3843" width="10" style="7" customWidth="1"/>
    <col min="3844" max="3844" width="17" style="7" customWidth="1"/>
    <col min="3845" max="3845" width="11.28515625" style="7" customWidth="1"/>
    <col min="3846" max="3846" width="10.140625" style="7" customWidth="1"/>
    <col min="3847" max="3847" width="10" style="7" customWidth="1"/>
    <col min="3848" max="3848" width="8.28515625" style="7" customWidth="1"/>
    <col min="3849" max="3849" width="10.7109375" style="7" customWidth="1"/>
    <col min="3850" max="3850" width="6.42578125" style="7" customWidth="1"/>
    <col min="3851" max="3851" width="10.42578125" style="7" customWidth="1"/>
    <col min="3852" max="3852" width="12" style="7" customWidth="1"/>
    <col min="3853" max="3853" width="14.140625" style="7" customWidth="1"/>
    <col min="3854" max="3854" width="13.7109375" style="7" customWidth="1"/>
    <col min="3855" max="3855" width="14.85546875" style="7" customWidth="1"/>
    <col min="3856" max="4097" width="9.140625" style="7"/>
    <col min="4098" max="4098" width="12.85546875" style="7" customWidth="1"/>
    <col min="4099" max="4099" width="10" style="7" customWidth="1"/>
    <col min="4100" max="4100" width="17" style="7" customWidth="1"/>
    <col min="4101" max="4101" width="11.28515625" style="7" customWidth="1"/>
    <col min="4102" max="4102" width="10.140625" style="7" customWidth="1"/>
    <col min="4103" max="4103" width="10" style="7" customWidth="1"/>
    <col min="4104" max="4104" width="8.28515625" style="7" customWidth="1"/>
    <col min="4105" max="4105" width="10.7109375" style="7" customWidth="1"/>
    <col min="4106" max="4106" width="6.42578125" style="7" customWidth="1"/>
    <col min="4107" max="4107" width="10.42578125" style="7" customWidth="1"/>
    <col min="4108" max="4108" width="12" style="7" customWidth="1"/>
    <col min="4109" max="4109" width="14.140625" style="7" customWidth="1"/>
    <col min="4110" max="4110" width="13.7109375" style="7" customWidth="1"/>
    <col min="4111" max="4111" width="14.85546875" style="7" customWidth="1"/>
    <col min="4112" max="4353" width="9.140625" style="7"/>
    <col min="4354" max="4354" width="12.85546875" style="7" customWidth="1"/>
    <col min="4355" max="4355" width="10" style="7" customWidth="1"/>
    <col min="4356" max="4356" width="17" style="7" customWidth="1"/>
    <col min="4357" max="4357" width="11.28515625" style="7" customWidth="1"/>
    <col min="4358" max="4358" width="10.140625" style="7" customWidth="1"/>
    <col min="4359" max="4359" width="10" style="7" customWidth="1"/>
    <col min="4360" max="4360" width="8.28515625" style="7" customWidth="1"/>
    <col min="4361" max="4361" width="10.7109375" style="7" customWidth="1"/>
    <col min="4362" max="4362" width="6.42578125" style="7" customWidth="1"/>
    <col min="4363" max="4363" width="10.42578125" style="7" customWidth="1"/>
    <col min="4364" max="4364" width="12" style="7" customWidth="1"/>
    <col min="4365" max="4365" width="14.140625" style="7" customWidth="1"/>
    <col min="4366" max="4366" width="13.7109375" style="7" customWidth="1"/>
    <col min="4367" max="4367" width="14.85546875" style="7" customWidth="1"/>
    <col min="4368" max="4609" width="9.140625" style="7"/>
    <col min="4610" max="4610" width="12.85546875" style="7" customWidth="1"/>
    <col min="4611" max="4611" width="10" style="7" customWidth="1"/>
    <col min="4612" max="4612" width="17" style="7" customWidth="1"/>
    <col min="4613" max="4613" width="11.28515625" style="7" customWidth="1"/>
    <col min="4614" max="4614" width="10.140625" style="7" customWidth="1"/>
    <col min="4615" max="4615" width="10" style="7" customWidth="1"/>
    <col min="4616" max="4616" width="8.28515625" style="7" customWidth="1"/>
    <col min="4617" max="4617" width="10.7109375" style="7" customWidth="1"/>
    <col min="4618" max="4618" width="6.42578125" style="7" customWidth="1"/>
    <col min="4619" max="4619" width="10.42578125" style="7" customWidth="1"/>
    <col min="4620" max="4620" width="12" style="7" customWidth="1"/>
    <col min="4621" max="4621" width="14.140625" style="7" customWidth="1"/>
    <col min="4622" max="4622" width="13.7109375" style="7" customWidth="1"/>
    <col min="4623" max="4623" width="14.85546875" style="7" customWidth="1"/>
    <col min="4624" max="4865" width="9.140625" style="7"/>
    <col min="4866" max="4866" width="12.85546875" style="7" customWidth="1"/>
    <col min="4867" max="4867" width="10" style="7" customWidth="1"/>
    <col min="4868" max="4868" width="17" style="7" customWidth="1"/>
    <col min="4869" max="4869" width="11.28515625" style="7" customWidth="1"/>
    <col min="4870" max="4870" width="10.140625" style="7" customWidth="1"/>
    <col min="4871" max="4871" width="10" style="7" customWidth="1"/>
    <col min="4872" max="4872" width="8.28515625" style="7" customWidth="1"/>
    <col min="4873" max="4873" width="10.7109375" style="7" customWidth="1"/>
    <col min="4874" max="4874" width="6.42578125" style="7" customWidth="1"/>
    <col min="4875" max="4875" width="10.42578125" style="7" customWidth="1"/>
    <col min="4876" max="4876" width="12" style="7" customWidth="1"/>
    <col min="4877" max="4877" width="14.140625" style="7" customWidth="1"/>
    <col min="4878" max="4878" width="13.7109375" style="7" customWidth="1"/>
    <col min="4879" max="4879" width="14.85546875" style="7" customWidth="1"/>
    <col min="4880" max="5121" width="9.140625" style="7"/>
    <col min="5122" max="5122" width="12.85546875" style="7" customWidth="1"/>
    <col min="5123" max="5123" width="10" style="7" customWidth="1"/>
    <col min="5124" max="5124" width="17" style="7" customWidth="1"/>
    <col min="5125" max="5125" width="11.28515625" style="7" customWidth="1"/>
    <col min="5126" max="5126" width="10.140625" style="7" customWidth="1"/>
    <col min="5127" max="5127" width="10" style="7" customWidth="1"/>
    <col min="5128" max="5128" width="8.28515625" style="7" customWidth="1"/>
    <col min="5129" max="5129" width="10.7109375" style="7" customWidth="1"/>
    <col min="5130" max="5130" width="6.42578125" style="7" customWidth="1"/>
    <col min="5131" max="5131" width="10.42578125" style="7" customWidth="1"/>
    <col min="5132" max="5132" width="12" style="7" customWidth="1"/>
    <col min="5133" max="5133" width="14.140625" style="7" customWidth="1"/>
    <col min="5134" max="5134" width="13.7109375" style="7" customWidth="1"/>
    <col min="5135" max="5135" width="14.85546875" style="7" customWidth="1"/>
    <col min="5136" max="5377" width="9.140625" style="7"/>
    <col min="5378" max="5378" width="12.85546875" style="7" customWidth="1"/>
    <col min="5379" max="5379" width="10" style="7" customWidth="1"/>
    <col min="5380" max="5380" width="17" style="7" customWidth="1"/>
    <col min="5381" max="5381" width="11.28515625" style="7" customWidth="1"/>
    <col min="5382" max="5382" width="10.140625" style="7" customWidth="1"/>
    <col min="5383" max="5383" width="10" style="7" customWidth="1"/>
    <col min="5384" max="5384" width="8.28515625" style="7" customWidth="1"/>
    <col min="5385" max="5385" width="10.7109375" style="7" customWidth="1"/>
    <col min="5386" max="5386" width="6.42578125" style="7" customWidth="1"/>
    <col min="5387" max="5387" width="10.42578125" style="7" customWidth="1"/>
    <col min="5388" max="5388" width="12" style="7" customWidth="1"/>
    <col min="5389" max="5389" width="14.140625" style="7" customWidth="1"/>
    <col min="5390" max="5390" width="13.7109375" style="7" customWidth="1"/>
    <col min="5391" max="5391" width="14.85546875" style="7" customWidth="1"/>
    <col min="5392" max="5633" width="9.140625" style="7"/>
    <col min="5634" max="5634" width="12.85546875" style="7" customWidth="1"/>
    <col min="5635" max="5635" width="10" style="7" customWidth="1"/>
    <col min="5636" max="5636" width="17" style="7" customWidth="1"/>
    <col min="5637" max="5637" width="11.28515625" style="7" customWidth="1"/>
    <col min="5638" max="5638" width="10.140625" style="7" customWidth="1"/>
    <col min="5639" max="5639" width="10" style="7" customWidth="1"/>
    <col min="5640" max="5640" width="8.28515625" style="7" customWidth="1"/>
    <col min="5641" max="5641" width="10.7109375" style="7" customWidth="1"/>
    <col min="5642" max="5642" width="6.42578125" style="7" customWidth="1"/>
    <col min="5643" max="5643" width="10.42578125" style="7" customWidth="1"/>
    <col min="5644" max="5644" width="12" style="7" customWidth="1"/>
    <col min="5645" max="5645" width="14.140625" style="7" customWidth="1"/>
    <col min="5646" max="5646" width="13.7109375" style="7" customWidth="1"/>
    <col min="5647" max="5647" width="14.85546875" style="7" customWidth="1"/>
    <col min="5648" max="5889" width="9.140625" style="7"/>
    <col min="5890" max="5890" width="12.85546875" style="7" customWidth="1"/>
    <col min="5891" max="5891" width="10" style="7" customWidth="1"/>
    <col min="5892" max="5892" width="17" style="7" customWidth="1"/>
    <col min="5893" max="5893" width="11.28515625" style="7" customWidth="1"/>
    <col min="5894" max="5894" width="10.140625" style="7" customWidth="1"/>
    <col min="5895" max="5895" width="10" style="7" customWidth="1"/>
    <col min="5896" max="5896" width="8.28515625" style="7" customWidth="1"/>
    <col min="5897" max="5897" width="10.7109375" style="7" customWidth="1"/>
    <col min="5898" max="5898" width="6.42578125" style="7" customWidth="1"/>
    <col min="5899" max="5899" width="10.42578125" style="7" customWidth="1"/>
    <col min="5900" max="5900" width="12" style="7" customWidth="1"/>
    <col min="5901" max="5901" width="14.140625" style="7" customWidth="1"/>
    <col min="5902" max="5902" width="13.7109375" style="7" customWidth="1"/>
    <col min="5903" max="5903" width="14.85546875" style="7" customWidth="1"/>
    <col min="5904" max="6145" width="9.140625" style="7"/>
    <col min="6146" max="6146" width="12.85546875" style="7" customWidth="1"/>
    <col min="6147" max="6147" width="10" style="7" customWidth="1"/>
    <col min="6148" max="6148" width="17" style="7" customWidth="1"/>
    <col min="6149" max="6149" width="11.28515625" style="7" customWidth="1"/>
    <col min="6150" max="6150" width="10.140625" style="7" customWidth="1"/>
    <col min="6151" max="6151" width="10" style="7" customWidth="1"/>
    <col min="6152" max="6152" width="8.28515625" style="7" customWidth="1"/>
    <col min="6153" max="6153" width="10.7109375" style="7" customWidth="1"/>
    <col min="6154" max="6154" width="6.42578125" style="7" customWidth="1"/>
    <col min="6155" max="6155" width="10.42578125" style="7" customWidth="1"/>
    <col min="6156" max="6156" width="12" style="7" customWidth="1"/>
    <col min="6157" max="6157" width="14.140625" style="7" customWidth="1"/>
    <col min="6158" max="6158" width="13.7109375" style="7" customWidth="1"/>
    <col min="6159" max="6159" width="14.85546875" style="7" customWidth="1"/>
    <col min="6160" max="6401" width="9.140625" style="7"/>
    <col min="6402" max="6402" width="12.85546875" style="7" customWidth="1"/>
    <col min="6403" max="6403" width="10" style="7" customWidth="1"/>
    <col min="6404" max="6404" width="17" style="7" customWidth="1"/>
    <col min="6405" max="6405" width="11.28515625" style="7" customWidth="1"/>
    <col min="6406" max="6406" width="10.140625" style="7" customWidth="1"/>
    <col min="6407" max="6407" width="10" style="7" customWidth="1"/>
    <col min="6408" max="6408" width="8.28515625" style="7" customWidth="1"/>
    <col min="6409" max="6409" width="10.7109375" style="7" customWidth="1"/>
    <col min="6410" max="6410" width="6.42578125" style="7" customWidth="1"/>
    <col min="6411" max="6411" width="10.42578125" style="7" customWidth="1"/>
    <col min="6412" max="6412" width="12" style="7" customWidth="1"/>
    <col min="6413" max="6413" width="14.140625" style="7" customWidth="1"/>
    <col min="6414" max="6414" width="13.7109375" style="7" customWidth="1"/>
    <col min="6415" max="6415" width="14.85546875" style="7" customWidth="1"/>
    <col min="6416" max="6657" width="9.140625" style="7"/>
    <col min="6658" max="6658" width="12.85546875" style="7" customWidth="1"/>
    <col min="6659" max="6659" width="10" style="7" customWidth="1"/>
    <col min="6660" max="6660" width="17" style="7" customWidth="1"/>
    <col min="6661" max="6661" width="11.28515625" style="7" customWidth="1"/>
    <col min="6662" max="6662" width="10.140625" style="7" customWidth="1"/>
    <col min="6663" max="6663" width="10" style="7" customWidth="1"/>
    <col min="6664" max="6664" width="8.28515625" style="7" customWidth="1"/>
    <col min="6665" max="6665" width="10.7109375" style="7" customWidth="1"/>
    <col min="6666" max="6666" width="6.42578125" style="7" customWidth="1"/>
    <col min="6667" max="6667" width="10.42578125" style="7" customWidth="1"/>
    <col min="6668" max="6668" width="12" style="7" customWidth="1"/>
    <col min="6669" max="6669" width="14.140625" style="7" customWidth="1"/>
    <col min="6670" max="6670" width="13.7109375" style="7" customWidth="1"/>
    <col min="6671" max="6671" width="14.85546875" style="7" customWidth="1"/>
    <col min="6672" max="6913" width="9.140625" style="7"/>
    <col min="6914" max="6914" width="12.85546875" style="7" customWidth="1"/>
    <col min="6915" max="6915" width="10" style="7" customWidth="1"/>
    <col min="6916" max="6916" width="17" style="7" customWidth="1"/>
    <col min="6917" max="6917" width="11.28515625" style="7" customWidth="1"/>
    <col min="6918" max="6918" width="10.140625" style="7" customWidth="1"/>
    <col min="6919" max="6919" width="10" style="7" customWidth="1"/>
    <col min="6920" max="6920" width="8.28515625" style="7" customWidth="1"/>
    <col min="6921" max="6921" width="10.7109375" style="7" customWidth="1"/>
    <col min="6922" max="6922" width="6.42578125" style="7" customWidth="1"/>
    <col min="6923" max="6923" width="10.42578125" style="7" customWidth="1"/>
    <col min="6924" max="6924" width="12" style="7" customWidth="1"/>
    <col min="6925" max="6925" width="14.140625" style="7" customWidth="1"/>
    <col min="6926" max="6926" width="13.7109375" style="7" customWidth="1"/>
    <col min="6927" max="6927" width="14.85546875" style="7" customWidth="1"/>
    <col min="6928" max="7169" width="9.140625" style="7"/>
    <col min="7170" max="7170" width="12.85546875" style="7" customWidth="1"/>
    <col min="7171" max="7171" width="10" style="7" customWidth="1"/>
    <col min="7172" max="7172" width="17" style="7" customWidth="1"/>
    <col min="7173" max="7173" width="11.28515625" style="7" customWidth="1"/>
    <col min="7174" max="7174" width="10.140625" style="7" customWidth="1"/>
    <col min="7175" max="7175" width="10" style="7" customWidth="1"/>
    <col min="7176" max="7176" width="8.28515625" style="7" customWidth="1"/>
    <col min="7177" max="7177" width="10.7109375" style="7" customWidth="1"/>
    <col min="7178" max="7178" width="6.42578125" style="7" customWidth="1"/>
    <col min="7179" max="7179" width="10.42578125" style="7" customWidth="1"/>
    <col min="7180" max="7180" width="12" style="7" customWidth="1"/>
    <col min="7181" max="7181" width="14.140625" style="7" customWidth="1"/>
    <col min="7182" max="7182" width="13.7109375" style="7" customWidth="1"/>
    <col min="7183" max="7183" width="14.85546875" style="7" customWidth="1"/>
    <col min="7184" max="7425" width="9.140625" style="7"/>
    <col min="7426" max="7426" width="12.85546875" style="7" customWidth="1"/>
    <col min="7427" max="7427" width="10" style="7" customWidth="1"/>
    <col min="7428" max="7428" width="17" style="7" customWidth="1"/>
    <col min="7429" max="7429" width="11.28515625" style="7" customWidth="1"/>
    <col min="7430" max="7430" width="10.140625" style="7" customWidth="1"/>
    <col min="7431" max="7431" width="10" style="7" customWidth="1"/>
    <col min="7432" max="7432" width="8.28515625" style="7" customWidth="1"/>
    <col min="7433" max="7433" width="10.7109375" style="7" customWidth="1"/>
    <col min="7434" max="7434" width="6.42578125" style="7" customWidth="1"/>
    <col min="7435" max="7435" width="10.42578125" style="7" customWidth="1"/>
    <col min="7436" max="7436" width="12" style="7" customWidth="1"/>
    <col min="7437" max="7437" width="14.140625" style="7" customWidth="1"/>
    <col min="7438" max="7438" width="13.7109375" style="7" customWidth="1"/>
    <col min="7439" max="7439" width="14.85546875" style="7" customWidth="1"/>
    <col min="7440" max="7681" width="9.140625" style="7"/>
    <col min="7682" max="7682" width="12.85546875" style="7" customWidth="1"/>
    <col min="7683" max="7683" width="10" style="7" customWidth="1"/>
    <col min="7684" max="7684" width="17" style="7" customWidth="1"/>
    <col min="7685" max="7685" width="11.28515625" style="7" customWidth="1"/>
    <col min="7686" max="7686" width="10.140625" style="7" customWidth="1"/>
    <col min="7687" max="7687" width="10" style="7" customWidth="1"/>
    <col min="7688" max="7688" width="8.28515625" style="7" customWidth="1"/>
    <col min="7689" max="7689" width="10.7109375" style="7" customWidth="1"/>
    <col min="7690" max="7690" width="6.42578125" style="7" customWidth="1"/>
    <col min="7691" max="7691" width="10.42578125" style="7" customWidth="1"/>
    <col min="7692" max="7692" width="12" style="7" customWidth="1"/>
    <col min="7693" max="7693" width="14.140625" style="7" customWidth="1"/>
    <col min="7694" max="7694" width="13.7109375" style="7" customWidth="1"/>
    <col min="7695" max="7695" width="14.85546875" style="7" customWidth="1"/>
    <col min="7696" max="7937" width="9.140625" style="7"/>
    <col min="7938" max="7938" width="12.85546875" style="7" customWidth="1"/>
    <col min="7939" max="7939" width="10" style="7" customWidth="1"/>
    <col min="7940" max="7940" width="17" style="7" customWidth="1"/>
    <col min="7941" max="7941" width="11.28515625" style="7" customWidth="1"/>
    <col min="7942" max="7942" width="10.140625" style="7" customWidth="1"/>
    <col min="7943" max="7943" width="10" style="7" customWidth="1"/>
    <col min="7944" max="7944" width="8.28515625" style="7" customWidth="1"/>
    <col min="7945" max="7945" width="10.7109375" style="7" customWidth="1"/>
    <col min="7946" max="7946" width="6.42578125" style="7" customWidth="1"/>
    <col min="7947" max="7947" width="10.42578125" style="7" customWidth="1"/>
    <col min="7948" max="7948" width="12" style="7" customWidth="1"/>
    <col min="7949" max="7949" width="14.140625" style="7" customWidth="1"/>
    <col min="7950" max="7950" width="13.7109375" style="7" customWidth="1"/>
    <col min="7951" max="7951" width="14.85546875" style="7" customWidth="1"/>
    <col min="7952" max="8193" width="9.140625" style="7"/>
    <col min="8194" max="8194" width="12.85546875" style="7" customWidth="1"/>
    <col min="8195" max="8195" width="10" style="7" customWidth="1"/>
    <col min="8196" max="8196" width="17" style="7" customWidth="1"/>
    <col min="8197" max="8197" width="11.28515625" style="7" customWidth="1"/>
    <col min="8198" max="8198" width="10.140625" style="7" customWidth="1"/>
    <col min="8199" max="8199" width="10" style="7" customWidth="1"/>
    <col min="8200" max="8200" width="8.28515625" style="7" customWidth="1"/>
    <col min="8201" max="8201" width="10.7109375" style="7" customWidth="1"/>
    <col min="8202" max="8202" width="6.42578125" style="7" customWidth="1"/>
    <col min="8203" max="8203" width="10.42578125" style="7" customWidth="1"/>
    <col min="8204" max="8204" width="12" style="7" customWidth="1"/>
    <col min="8205" max="8205" width="14.140625" style="7" customWidth="1"/>
    <col min="8206" max="8206" width="13.7109375" style="7" customWidth="1"/>
    <col min="8207" max="8207" width="14.85546875" style="7" customWidth="1"/>
    <col min="8208" max="8449" width="9.140625" style="7"/>
    <col min="8450" max="8450" width="12.85546875" style="7" customWidth="1"/>
    <col min="8451" max="8451" width="10" style="7" customWidth="1"/>
    <col min="8452" max="8452" width="17" style="7" customWidth="1"/>
    <col min="8453" max="8453" width="11.28515625" style="7" customWidth="1"/>
    <col min="8454" max="8454" width="10.140625" style="7" customWidth="1"/>
    <col min="8455" max="8455" width="10" style="7" customWidth="1"/>
    <col min="8456" max="8456" width="8.28515625" style="7" customWidth="1"/>
    <col min="8457" max="8457" width="10.7109375" style="7" customWidth="1"/>
    <col min="8458" max="8458" width="6.42578125" style="7" customWidth="1"/>
    <col min="8459" max="8459" width="10.42578125" style="7" customWidth="1"/>
    <col min="8460" max="8460" width="12" style="7" customWidth="1"/>
    <col min="8461" max="8461" width="14.140625" style="7" customWidth="1"/>
    <col min="8462" max="8462" width="13.7109375" style="7" customWidth="1"/>
    <col min="8463" max="8463" width="14.85546875" style="7" customWidth="1"/>
    <col min="8464" max="8705" width="9.140625" style="7"/>
    <col min="8706" max="8706" width="12.85546875" style="7" customWidth="1"/>
    <col min="8707" max="8707" width="10" style="7" customWidth="1"/>
    <col min="8708" max="8708" width="17" style="7" customWidth="1"/>
    <col min="8709" max="8709" width="11.28515625" style="7" customWidth="1"/>
    <col min="8710" max="8710" width="10.140625" style="7" customWidth="1"/>
    <col min="8711" max="8711" width="10" style="7" customWidth="1"/>
    <col min="8712" max="8712" width="8.28515625" style="7" customWidth="1"/>
    <col min="8713" max="8713" width="10.7109375" style="7" customWidth="1"/>
    <col min="8714" max="8714" width="6.42578125" style="7" customWidth="1"/>
    <col min="8715" max="8715" width="10.42578125" style="7" customWidth="1"/>
    <col min="8716" max="8716" width="12" style="7" customWidth="1"/>
    <col min="8717" max="8717" width="14.140625" style="7" customWidth="1"/>
    <col min="8718" max="8718" width="13.7109375" style="7" customWidth="1"/>
    <col min="8719" max="8719" width="14.85546875" style="7" customWidth="1"/>
    <col min="8720" max="8961" width="9.140625" style="7"/>
    <col min="8962" max="8962" width="12.85546875" style="7" customWidth="1"/>
    <col min="8963" max="8963" width="10" style="7" customWidth="1"/>
    <col min="8964" max="8964" width="17" style="7" customWidth="1"/>
    <col min="8965" max="8965" width="11.28515625" style="7" customWidth="1"/>
    <col min="8966" max="8966" width="10.140625" style="7" customWidth="1"/>
    <col min="8967" max="8967" width="10" style="7" customWidth="1"/>
    <col min="8968" max="8968" width="8.28515625" style="7" customWidth="1"/>
    <col min="8969" max="8969" width="10.7109375" style="7" customWidth="1"/>
    <col min="8970" max="8970" width="6.42578125" style="7" customWidth="1"/>
    <col min="8971" max="8971" width="10.42578125" style="7" customWidth="1"/>
    <col min="8972" max="8972" width="12" style="7" customWidth="1"/>
    <col min="8973" max="8973" width="14.140625" style="7" customWidth="1"/>
    <col min="8974" max="8974" width="13.7109375" style="7" customWidth="1"/>
    <col min="8975" max="8975" width="14.85546875" style="7" customWidth="1"/>
    <col min="8976" max="9217" width="9.140625" style="7"/>
    <col min="9218" max="9218" width="12.85546875" style="7" customWidth="1"/>
    <col min="9219" max="9219" width="10" style="7" customWidth="1"/>
    <col min="9220" max="9220" width="17" style="7" customWidth="1"/>
    <col min="9221" max="9221" width="11.28515625" style="7" customWidth="1"/>
    <col min="9222" max="9222" width="10.140625" style="7" customWidth="1"/>
    <col min="9223" max="9223" width="10" style="7" customWidth="1"/>
    <col min="9224" max="9224" width="8.28515625" style="7" customWidth="1"/>
    <col min="9225" max="9225" width="10.7109375" style="7" customWidth="1"/>
    <col min="9226" max="9226" width="6.42578125" style="7" customWidth="1"/>
    <col min="9227" max="9227" width="10.42578125" style="7" customWidth="1"/>
    <col min="9228" max="9228" width="12" style="7" customWidth="1"/>
    <col min="9229" max="9229" width="14.140625" style="7" customWidth="1"/>
    <col min="9230" max="9230" width="13.7109375" style="7" customWidth="1"/>
    <col min="9231" max="9231" width="14.85546875" style="7" customWidth="1"/>
    <col min="9232" max="9473" width="9.140625" style="7"/>
    <col min="9474" max="9474" width="12.85546875" style="7" customWidth="1"/>
    <col min="9475" max="9475" width="10" style="7" customWidth="1"/>
    <col min="9476" max="9476" width="17" style="7" customWidth="1"/>
    <col min="9477" max="9477" width="11.28515625" style="7" customWidth="1"/>
    <col min="9478" max="9478" width="10.140625" style="7" customWidth="1"/>
    <col min="9479" max="9479" width="10" style="7" customWidth="1"/>
    <col min="9480" max="9480" width="8.28515625" style="7" customWidth="1"/>
    <col min="9481" max="9481" width="10.7109375" style="7" customWidth="1"/>
    <col min="9482" max="9482" width="6.42578125" style="7" customWidth="1"/>
    <col min="9483" max="9483" width="10.42578125" style="7" customWidth="1"/>
    <col min="9484" max="9484" width="12" style="7" customWidth="1"/>
    <col min="9485" max="9485" width="14.140625" style="7" customWidth="1"/>
    <col min="9486" max="9486" width="13.7109375" style="7" customWidth="1"/>
    <col min="9487" max="9487" width="14.85546875" style="7" customWidth="1"/>
    <col min="9488" max="9729" width="9.140625" style="7"/>
    <col min="9730" max="9730" width="12.85546875" style="7" customWidth="1"/>
    <col min="9731" max="9731" width="10" style="7" customWidth="1"/>
    <col min="9732" max="9732" width="17" style="7" customWidth="1"/>
    <col min="9733" max="9733" width="11.28515625" style="7" customWidth="1"/>
    <col min="9734" max="9734" width="10.140625" style="7" customWidth="1"/>
    <col min="9735" max="9735" width="10" style="7" customWidth="1"/>
    <col min="9736" max="9736" width="8.28515625" style="7" customWidth="1"/>
    <col min="9737" max="9737" width="10.7109375" style="7" customWidth="1"/>
    <col min="9738" max="9738" width="6.42578125" style="7" customWidth="1"/>
    <col min="9739" max="9739" width="10.42578125" style="7" customWidth="1"/>
    <col min="9740" max="9740" width="12" style="7" customWidth="1"/>
    <col min="9741" max="9741" width="14.140625" style="7" customWidth="1"/>
    <col min="9742" max="9742" width="13.7109375" style="7" customWidth="1"/>
    <col min="9743" max="9743" width="14.85546875" style="7" customWidth="1"/>
    <col min="9744" max="9985" width="9.140625" style="7"/>
    <col min="9986" max="9986" width="12.85546875" style="7" customWidth="1"/>
    <col min="9987" max="9987" width="10" style="7" customWidth="1"/>
    <col min="9988" max="9988" width="17" style="7" customWidth="1"/>
    <col min="9989" max="9989" width="11.28515625" style="7" customWidth="1"/>
    <col min="9990" max="9990" width="10.140625" style="7" customWidth="1"/>
    <col min="9991" max="9991" width="10" style="7" customWidth="1"/>
    <col min="9992" max="9992" width="8.28515625" style="7" customWidth="1"/>
    <col min="9993" max="9993" width="10.7109375" style="7" customWidth="1"/>
    <col min="9994" max="9994" width="6.42578125" style="7" customWidth="1"/>
    <col min="9995" max="9995" width="10.42578125" style="7" customWidth="1"/>
    <col min="9996" max="9996" width="12" style="7" customWidth="1"/>
    <col min="9997" max="9997" width="14.140625" style="7" customWidth="1"/>
    <col min="9998" max="9998" width="13.7109375" style="7" customWidth="1"/>
    <col min="9999" max="9999" width="14.85546875" style="7" customWidth="1"/>
    <col min="10000" max="10241" width="9.140625" style="7"/>
    <col min="10242" max="10242" width="12.85546875" style="7" customWidth="1"/>
    <col min="10243" max="10243" width="10" style="7" customWidth="1"/>
    <col min="10244" max="10244" width="17" style="7" customWidth="1"/>
    <col min="10245" max="10245" width="11.28515625" style="7" customWidth="1"/>
    <col min="10246" max="10246" width="10.140625" style="7" customWidth="1"/>
    <col min="10247" max="10247" width="10" style="7" customWidth="1"/>
    <col min="10248" max="10248" width="8.28515625" style="7" customWidth="1"/>
    <col min="10249" max="10249" width="10.7109375" style="7" customWidth="1"/>
    <col min="10250" max="10250" width="6.42578125" style="7" customWidth="1"/>
    <col min="10251" max="10251" width="10.42578125" style="7" customWidth="1"/>
    <col min="10252" max="10252" width="12" style="7" customWidth="1"/>
    <col min="10253" max="10253" width="14.140625" style="7" customWidth="1"/>
    <col min="10254" max="10254" width="13.7109375" style="7" customWidth="1"/>
    <col min="10255" max="10255" width="14.85546875" style="7" customWidth="1"/>
    <col min="10256" max="10497" width="9.140625" style="7"/>
    <col min="10498" max="10498" width="12.85546875" style="7" customWidth="1"/>
    <col min="10499" max="10499" width="10" style="7" customWidth="1"/>
    <col min="10500" max="10500" width="17" style="7" customWidth="1"/>
    <col min="10501" max="10501" width="11.28515625" style="7" customWidth="1"/>
    <col min="10502" max="10502" width="10.140625" style="7" customWidth="1"/>
    <col min="10503" max="10503" width="10" style="7" customWidth="1"/>
    <col min="10504" max="10504" width="8.28515625" style="7" customWidth="1"/>
    <col min="10505" max="10505" width="10.7109375" style="7" customWidth="1"/>
    <col min="10506" max="10506" width="6.42578125" style="7" customWidth="1"/>
    <col min="10507" max="10507" width="10.42578125" style="7" customWidth="1"/>
    <col min="10508" max="10508" width="12" style="7" customWidth="1"/>
    <col min="10509" max="10509" width="14.140625" style="7" customWidth="1"/>
    <col min="10510" max="10510" width="13.7109375" style="7" customWidth="1"/>
    <col min="10511" max="10511" width="14.85546875" style="7" customWidth="1"/>
    <col min="10512" max="10753" width="9.140625" style="7"/>
    <col min="10754" max="10754" width="12.85546875" style="7" customWidth="1"/>
    <col min="10755" max="10755" width="10" style="7" customWidth="1"/>
    <col min="10756" max="10756" width="17" style="7" customWidth="1"/>
    <col min="10757" max="10757" width="11.28515625" style="7" customWidth="1"/>
    <col min="10758" max="10758" width="10.140625" style="7" customWidth="1"/>
    <col min="10759" max="10759" width="10" style="7" customWidth="1"/>
    <col min="10760" max="10760" width="8.28515625" style="7" customWidth="1"/>
    <col min="10761" max="10761" width="10.7109375" style="7" customWidth="1"/>
    <col min="10762" max="10762" width="6.42578125" style="7" customWidth="1"/>
    <col min="10763" max="10763" width="10.42578125" style="7" customWidth="1"/>
    <col min="10764" max="10764" width="12" style="7" customWidth="1"/>
    <col min="10765" max="10765" width="14.140625" style="7" customWidth="1"/>
    <col min="10766" max="10766" width="13.7109375" style="7" customWidth="1"/>
    <col min="10767" max="10767" width="14.85546875" style="7" customWidth="1"/>
    <col min="10768" max="11009" width="9.140625" style="7"/>
    <col min="11010" max="11010" width="12.85546875" style="7" customWidth="1"/>
    <col min="11011" max="11011" width="10" style="7" customWidth="1"/>
    <col min="11012" max="11012" width="17" style="7" customWidth="1"/>
    <col min="11013" max="11013" width="11.28515625" style="7" customWidth="1"/>
    <col min="11014" max="11014" width="10.140625" style="7" customWidth="1"/>
    <col min="11015" max="11015" width="10" style="7" customWidth="1"/>
    <col min="11016" max="11016" width="8.28515625" style="7" customWidth="1"/>
    <col min="11017" max="11017" width="10.7109375" style="7" customWidth="1"/>
    <col min="11018" max="11018" width="6.42578125" style="7" customWidth="1"/>
    <col min="11019" max="11019" width="10.42578125" style="7" customWidth="1"/>
    <col min="11020" max="11020" width="12" style="7" customWidth="1"/>
    <col min="11021" max="11021" width="14.140625" style="7" customWidth="1"/>
    <col min="11022" max="11022" width="13.7109375" style="7" customWidth="1"/>
    <col min="11023" max="11023" width="14.85546875" style="7" customWidth="1"/>
    <col min="11024" max="11265" width="9.140625" style="7"/>
    <col min="11266" max="11266" width="12.85546875" style="7" customWidth="1"/>
    <col min="11267" max="11267" width="10" style="7" customWidth="1"/>
    <col min="11268" max="11268" width="17" style="7" customWidth="1"/>
    <col min="11269" max="11269" width="11.28515625" style="7" customWidth="1"/>
    <col min="11270" max="11270" width="10.140625" style="7" customWidth="1"/>
    <col min="11271" max="11271" width="10" style="7" customWidth="1"/>
    <col min="11272" max="11272" width="8.28515625" style="7" customWidth="1"/>
    <col min="11273" max="11273" width="10.7109375" style="7" customWidth="1"/>
    <col min="11274" max="11274" width="6.42578125" style="7" customWidth="1"/>
    <col min="11275" max="11275" width="10.42578125" style="7" customWidth="1"/>
    <col min="11276" max="11276" width="12" style="7" customWidth="1"/>
    <col min="11277" max="11277" width="14.140625" style="7" customWidth="1"/>
    <col min="11278" max="11278" width="13.7109375" style="7" customWidth="1"/>
    <col min="11279" max="11279" width="14.85546875" style="7" customWidth="1"/>
    <col min="11280" max="11521" width="9.140625" style="7"/>
    <col min="11522" max="11522" width="12.85546875" style="7" customWidth="1"/>
    <col min="11523" max="11523" width="10" style="7" customWidth="1"/>
    <col min="11524" max="11524" width="17" style="7" customWidth="1"/>
    <col min="11525" max="11525" width="11.28515625" style="7" customWidth="1"/>
    <col min="11526" max="11526" width="10.140625" style="7" customWidth="1"/>
    <col min="11527" max="11527" width="10" style="7" customWidth="1"/>
    <col min="11528" max="11528" width="8.28515625" style="7" customWidth="1"/>
    <col min="11529" max="11529" width="10.7109375" style="7" customWidth="1"/>
    <col min="11530" max="11530" width="6.42578125" style="7" customWidth="1"/>
    <col min="11531" max="11531" width="10.42578125" style="7" customWidth="1"/>
    <col min="11532" max="11532" width="12" style="7" customWidth="1"/>
    <col min="11533" max="11533" width="14.140625" style="7" customWidth="1"/>
    <col min="11534" max="11534" width="13.7109375" style="7" customWidth="1"/>
    <col min="11535" max="11535" width="14.85546875" style="7" customWidth="1"/>
    <col min="11536" max="11777" width="9.140625" style="7"/>
    <col min="11778" max="11778" width="12.85546875" style="7" customWidth="1"/>
    <col min="11779" max="11779" width="10" style="7" customWidth="1"/>
    <col min="11780" max="11780" width="17" style="7" customWidth="1"/>
    <col min="11781" max="11781" width="11.28515625" style="7" customWidth="1"/>
    <col min="11782" max="11782" width="10.140625" style="7" customWidth="1"/>
    <col min="11783" max="11783" width="10" style="7" customWidth="1"/>
    <col min="11784" max="11784" width="8.28515625" style="7" customWidth="1"/>
    <col min="11785" max="11785" width="10.7109375" style="7" customWidth="1"/>
    <col min="11786" max="11786" width="6.42578125" style="7" customWidth="1"/>
    <col min="11787" max="11787" width="10.42578125" style="7" customWidth="1"/>
    <col min="11788" max="11788" width="12" style="7" customWidth="1"/>
    <col min="11789" max="11789" width="14.140625" style="7" customWidth="1"/>
    <col min="11790" max="11790" width="13.7109375" style="7" customWidth="1"/>
    <col min="11791" max="11791" width="14.85546875" style="7" customWidth="1"/>
    <col min="11792" max="12033" width="9.140625" style="7"/>
    <col min="12034" max="12034" width="12.85546875" style="7" customWidth="1"/>
    <col min="12035" max="12035" width="10" style="7" customWidth="1"/>
    <col min="12036" max="12036" width="17" style="7" customWidth="1"/>
    <col min="12037" max="12037" width="11.28515625" style="7" customWidth="1"/>
    <col min="12038" max="12038" width="10.140625" style="7" customWidth="1"/>
    <col min="12039" max="12039" width="10" style="7" customWidth="1"/>
    <col min="12040" max="12040" width="8.28515625" style="7" customWidth="1"/>
    <col min="12041" max="12041" width="10.7109375" style="7" customWidth="1"/>
    <col min="12042" max="12042" width="6.42578125" style="7" customWidth="1"/>
    <col min="12043" max="12043" width="10.42578125" style="7" customWidth="1"/>
    <col min="12044" max="12044" width="12" style="7" customWidth="1"/>
    <col min="12045" max="12045" width="14.140625" style="7" customWidth="1"/>
    <col min="12046" max="12046" width="13.7109375" style="7" customWidth="1"/>
    <col min="12047" max="12047" width="14.85546875" style="7" customWidth="1"/>
    <col min="12048" max="12289" width="9.140625" style="7"/>
    <col min="12290" max="12290" width="12.85546875" style="7" customWidth="1"/>
    <col min="12291" max="12291" width="10" style="7" customWidth="1"/>
    <col min="12292" max="12292" width="17" style="7" customWidth="1"/>
    <col min="12293" max="12293" width="11.28515625" style="7" customWidth="1"/>
    <col min="12294" max="12294" width="10.140625" style="7" customWidth="1"/>
    <col min="12295" max="12295" width="10" style="7" customWidth="1"/>
    <col min="12296" max="12296" width="8.28515625" style="7" customWidth="1"/>
    <col min="12297" max="12297" width="10.7109375" style="7" customWidth="1"/>
    <col min="12298" max="12298" width="6.42578125" style="7" customWidth="1"/>
    <col min="12299" max="12299" width="10.42578125" style="7" customWidth="1"/>
    <col min="12300" max="12300" width="12" style="7" customWidth="1"/>
    <col min="12301" max="12301" width="14.140625" style="7" customWidth="1"/>
    <col min="12302" max="12302" width="13.7109375" style="7" customWidth="1"/>
    <col min="12303" max="12303" width="14.85546875" style="7" customWidth="1"/>
    <col min="12304" max="12545" width="9.140625" style="7"/>
    <col min="12546" max="12546" width="12.85546875" style="7" customWidth="1"/>
    <col min="12547" max="12547" width="10" style="7" customWidth="1"/>
    <col min="12548" max="12548" width="17" style="7" customWidth="1"/>
    <col min="12549" max="12549" width="11.28515625" style="7" customWidth="1"/>
    <col min="12550" max="12550" width="10.140625" style="7" customWidth="1"/>
    <col min="12551" max="12551" width="10" style="7" customWidth="1"/>
    <col min="12552" max="12552" width="8.28515625" style="7" customWidth="1"/>
    <col min="12553" max="12553" width="10.7109375" style="7" customWidth="1"/>
    <col min="12554" max="12554" width="6.42578125" style="7" customWidth="1"/>
    <col min="12555" max="12555" width="10.42578125" style="7" customWidth="1"/>
    <col min="12556" max="12556" width="12" style="7" customWidth="1"/>
    <col min="12557" max="12557" width="14.140625" style="7" customWidth="1"/>
    <col min="12558" max="12558" width="13.7109375" style="7" customWidth="1"/>
    <col min="12559" max="12559" width="14.85546875" style="7" customWidth="1"/>
    <col min="12560" max="12801" width="9.140625" style="7"/>
    <col min="12802" max="12802" width="12.85546875" style="7" customWidth="1"/>
    <col min="12803" max="12803" width="10" style="7" customWidth="1"/>
    <col min="12804" max="12804" width="17" style="7" customWidth="1"/>
    <col min="12805" max="12805" width="11.28515625" style="7" customWidth="1"/>
    <col min="12806" max="12806" width="10.140625" style="7" customWidth="1"/>
    <col min="12807" max="12807" width="10" style="7" customWidth="1"/>
    <col min="12808" max="12808" width="8.28515625" style="7" customWidth="1"/>
    <col min="12809" max="12809" width="10.7109375" style="7" customWidth="1"/>
    <col min="12810" max="12810" width="6.42578125" style="7" customWidth="1"/>
    <col min="12811" max="12811" width="10.42578125" style="7" customWidth="1"/>
    <col min="12812" max="12812" width="12" style="7" customWidth="1"/>
    <col min="12813" max="12813" width="14.140625" style="7" customWidth="1"/>
    <col min="12814" max="12814" width="13.7109375" style="7" customWidth="1"/>
    <col min="12815" max="12815" width="14.85546875" style="7" customWidth="1"/>
    <col min="12816" max="13057" width="9.140625" style="7"/>
    <col min="13058" max="13058" width="12.85546875" style="7" customWidth="1"/>
    <col min="13059" max="13059" width="10" style="7" customWidth="1"/>
    <col min="13060" max="13060" width="17" style="7" customWidth="1"/>
    <col min="13061" max="13061" width="11.28515625" style="7" customWidth="1"/>
    <col min="13062" max="13062" width="10.140625" style="7" customWidth="1"/>
    <col min="13063" max="13063" width="10" style="7" customWidth="1"/>
    <col min="13064" max="13064" width="8.28515625" style="7" customWidth="1"/>
    <col min="13065" max="13065" width="10.7109375" style="7" customWidth="1"/>
    <col min="13066" max="13066" width="6.42578125" style="7" customWidth="1"/>
    <col min="13067" max="13067" width="10.42578125" style="7" customWidth="1"/>
    <col min="13068" max="13068" width="12" style="7" customWidth="1"/>
    <col min="13069" max="13069" width="14.140625" style="7" customWidth="1"/>
    <col min="13070" max="13070" width="13.7109375" style="7" customWidth="1"/>
    <col min="13071" max="13071" width="14.85546875" style="7" customWidth="1"/>
    <col min="13072" max="13313" width="9.140625" style="7"/>
    <col min="13314" max="13314" width="12.85546875" style="7" customWidth="1"/>
    <col min="13315" max="13315" width="10" style="7" customWidth="1"/>
    <col min="13316" max="13316" width="17" style="7" customWidth="1"/>
    <col min="13317" max="13317" width="11.28515625" style="7" customWidth="1"/>
    <col min="13318" max="13318" width="10.140625" style="7" customWidth="1"/>
    <col min="13319" max="13319" width="10" style="7" customWidth="1"/>
    <col min="13320" max="13320" width="8.28515625" style="7" customWidth="1"/>
    <col min="13321" max="13321" width="10.7109375" style="7" customWidth="1"/>
    <col min="13322" max="13322" width="6.42578125" style="7" customWidth="1"/>
    <col min="13323" max="13323" width="10.42578125" style="7" customWidth="1"/>
    <col min="13324" max="13324" width="12" style="7" customWidth="1"/>
    <col min="13325" max="13325" width="14.140625" style="7" customWidth="1"/>
    <col min="13326" max="13326" width="13.7109375" style="7" customWidth="1"/>
    <col min="13327" max="13327" width="14.85546875" style="7" customWidth="1"/>
    <col min="13328" max="13569" width="9.140625" style="7"/>
    <col min="13570" max="13570" width="12.85546875" style="7" customWidth="1"/>
    <col min="13571" max="13571" width="10" style="7" customWidth="1"/>
    <col min="13572" max="13572" width="17" style="7" customWidth="1"/>
    <col min="13573" max="13573" width="11.28515625" style="7" customWidth="1"/>
    <col min="13574" max="13574" width="10.140625" style="7" customWidth="1"/>
    <col min="13575" max="13575" width="10" style="7" customWidth="1"/>
    <col min="13576" max="13576" width="8.28515625" style="7" customWidth="1"/>
    <col min="13577" max="13577" width="10.7109375" style="7" customWidth="1"/>
    <col min="13578" max="13578" width="6.42578125" style="7" customWidth="1"/>
    <col min="13579" max="13579" width="10.42578125" style="7" customWidth="1"/>
    <col min="13580" max="13580" width="12" style="7" customWidth="1"/>
    <col min="13581" max="13581" width="14.140625" style="7" customWidth="1"/>
    <col min="13582" max="13582" width="13.7109375" style="7" customWidth="1"/>
    <col min="13583" max="13583" width="14.85546875" style="7" customWidth="1"/>
    <col min="13584" max="13825" width="9.140625" style="7"/>
    <col min="13826" max="13826" width="12.85546875" style="7" customWidth="1"/>
    <col min="13827" max="13827" width="10" style="7" customWidth="1"/>
    <col min="13828" max="13828" width="17" style="7" customWidth="1"/>
    <col min="13829" max="13829" width="11.28515625" style="7" customWidth="1"/>
    <col min="13830" max="13830" width="10.140625" style="7" customWidth="1"/>
    <col min="13831" max="13831" width="10" style="7" customWidth="1"/>
    <col min="13832" max="13832" width="8.28515625" style="7" customWidth="1"/>
    <col min="13833" max="13833" width="10.7109375" style="7" customWidth="1"/>
    <col min="13834" max="13834" width="6.42578125" style="7" customWidth="1"/>
    <col min="13835" max="13835" width="10.42578125" style="7" customWidth="1"/>
    <col min="13836" max="13836" width="12" style="7" customWidth="1"/>
    <col min="13837" max="13837" width="14.140625" style="7" customWidth="1"/>
    <col min="13838" max="13838" width="13.7109375" style="7" customWidth="1"/>
    <col min="13839" max="13839" width="14.85546875" style="7" customWidth="1"/>
    <col min="13840" max="14081" width="9.140625" style="7"/>
    <col min="14082" max="14082" width="12.85546875" style="7" customWidth="1"/>
    <col min="14083" max="14083" width="10" style="7" customWidth="1"/>
    <col min="14084" max="14084" width="17" style="7" customWidth="1"/>
    <col min="14085" max="14085" width="11.28515625" style="7" customWidth="1"/>
    <col min="14086" max="14086" width="10.140625" style="7" customWidth="1"/>
    <col min="14087" max="14087" width="10" style="7" customWidth="1"/>
    <col min="14088" max="14088" width="8.28515625" style="7" customWidth="1"/>
    <col min="14089" max="14089" width="10.7109375" style="7" customWidth="1"/>
    <col min="14090" max="14090" width="6.42578125" style="7" customWidth="1"/>
    <col min="14091" max="14091" width="10.42578125" style="7" customWidth="1"/>
    <col min="14092" max="14092" width="12" style="7" customWidth="1"/>
    <col min="14093" max="14093" width="14.140625" style="7" customWidth="1"/>
    <col min="14094" max="14094" width="13.7109375" style="7" customWidth="1"/>
    <col min="14095" max="14095" width="14.85546875" style="7" customWidth="1"/>
    <col min="14096" max="14337" width="9.140625" style="7"/>
    <col min="14338" max="14338" width="12.85546875" style="7" customWidth="1"/>
    <col min="14339" max="14339" width="10" style="7" customWidth="1"/>
    <col min="14340" max="14340" width="17" style="7" customWidth="1"/>
    <col min="14341" max="14341" width="11.28515625" style="7" customWidth="1"/>
    <col min="14342" max="14342" width="10.140625" style="7" customWidth="1"/>
    <col min="14343" max="14343" width="10" style="7" customWidth="1"/>
    <col min="14344" max="14344" width="8.28515625" style="7" customWidth="1"/>
    <col min="14345" max="14345" width="10.7109375" style="7" customWidth="1"/>
    <col min="14346" max="14346" width="6.42578125" style="7" customWidth="1"/>
    <col min="14347" max="14347" width="10.42578125" style="7" customWidth="1"/>
    <col min="14348" max="14348" width="12" style="7" customWidth="1"/>
    <col min="14349" max="14349" width="14.140625" style="7" customWidth="1"/>
    <col min="14350" max="14350" width="13.7109375" style="7" customWidth="1"/>
    <col min="14351" max="14351" width="14.85546875" style="7" customWidth="1"/>
    <col min="14352" max="14593" width="9.140625" style="7"/>
    <col min="14594" max="14594" width="12.85546875" style="7" customWidth="1"/>
    <col min="14595" max="14595" width="10" style="7" customWidth="1"/>
    <col min="14596" max="14596" width="17" style="7" customWidth="1"/>
    <col min="14597" max="14597" width="11.28515625" style="7" customWidth="1"/>
    <col min="14598" max="14598" width="10.140625" style="7" customWidth="1"/>
    <col min="14599" max="14599" width="10" style="7" customWidth="1"/>
    <col min="14600" max="14600" width="8.28515625" style="7" customWidth="1"/>
    <col min="14601" max="14601" width="10.7109375" style="7" customWidth="1"/>
    <col min="14602" max="14602" width="6.42578125" style="7" customWidth="1"/>
    <col min="14603" max="14603" width="10.42578125" style="7" customWidth="1"/>
    <col min="14604" max="14604" width="12" style="7" customWidth="1"/>
    <col min="14605" max="14605" width="14.140625" style="7" customWidth="1"/>
    <col min="14606" max="14606" width="13.7109375" style="7" customWidth="1"/>
    <col min="14607" max="14607" width="14.85546875" style="7" customWidth="1"/>
    <col min="14608" max="14849" width="9.140625" style="7"/>
    <col min="14850" max="14850" width="12.85546875" style="7" customWidth="1"/>
    <col min="14851" max="14851" width="10" style="7" customWidth="1"/>
    <col min="14852" max="14852" width="17" style="7" customWidth="1"/>
    <col min="14853" max="14853" width="11.28515625" style="7" customWidth="1"/>
    <col min="14854" max="14854" width="10.140625" style="7" customWidth="1"/>
    <col min="14855" max="14855" width="10" style="7" customWidth="1"/>
    <col min="14856" max="14856" width="8.28515625" style="7" customWidth="1"/>
    <col min="14857" max="14857" width="10.7109375" style="7" customWidth="1"/>
    <col min="14858" max="14858" width="6.42578125" style="7" customWidth="1"/>
    <col min="14859" max="14859" width="10.42578125" style="7" customWidth="1"/>
    <col min="14860" max="14860" width="12" style="7" customWidth="1"/>
    <col min="14861" max="14861" width="14.140625" style="7" customWidth="1"/>
    <col min="14862" max="14862" width="13.7109375" style="7" customWidth="1"/>
    <col min="14863" max="14863" width="14.85546875" style="7" customWidth="1"/>
    <col min="14864" max="15105" width="9.140625" style="7"/>
    <col min="15106" max="15106" width="12.85546875" style="7" customWidth="1"/>
    <col min="15107" max="15107" width="10" style="7" customWidth="1"/>
    <col min="15108" max="15108" width="17" style="7" customWidth="1"/>
    <col min="15109" max="15109" width="11.28515625" style="7" customWidth="1"/>
    <col min="15110" max="15110" width="10.140625" style="7" customWidth="1"/>
    <col min="15111" max="15111" width="10" style="7" customWidth="1"/>
    <col min="15112" max="15112" width="8.28515625" style="7" customWidth="1"/>
    <col min="15113" max="15113" width="10.7109375" style="7" customWidth="1"/>
    <col min="15114" max="15114" width="6.42578125" style="7" customWidth="1"/>
    <col min="15115" max="15115" width="10.42578125" style="7" customWidth="1"/>
    <col min="15116" max="15116" width="12" style="7" customWidth="1"/>
    <col min="15117" max="15117" width="14.140625" style="7" customWidth="1"/>
    <col min="15118" max="15118" width="13.7109375" style="7" customWidth="1"/>
    <col min="15119" max="15119" width="14.85546875" style="7" customWidth="1"/>
    <col min="15120" max="15361" width="9.140625" style="7"/>
    <col min="15362" max="15362" width="12.85546875" style="7" customWidth="1"/>
    <col min="15363" max="15363" width="10" style="7" customWidth="1"/>
    <col min="15364" max="15364" width="17" style="7" customWidth="1"/>
    <col min="15365" max="15365" width="11.28515625" style="7" customWidth="1"/>
    <col min="15366" max="15366" width="10.140625" style="7" customWidth="1"/>
    <col min="15367" max="15367" width="10" style="7" customWidth="1"/>
    <col min="15368" max="15368" width="8.28515625" style="7" customWidth="1"/>
    <col min="15369" max="15369" width="10.7109375" style="7" customWidth="1"/>
    <col min="15370" max="15370" width="6.42578125" style="7" customWidth="1"/>
    <col min="15371" max="15371" width="10.42578125" style="7" customWidth="1"/>
    <col min="15372" max="15372" width="12" style="7" customWidth="1"/>
    <col min="15373" max="15373" width="14.140625" style="7" customWidth="1"/>
    <col min="15374" max="15374" width="13.7109375" style="7" customWidth="1"/>
    <col min="15375" max="15375" width="14.85546875" style="7" customWidth="1"/>
    <col min="15376" max="15617" width="9.140625" style="7"/>
    <col min="15618" max="15618" width="12.85546875" style="7" customWidth="1"/>
    <col min="15619" max="15619" width="10" style="7" customWidth="1"/>
    <col min="15620" max="15620" width="17" style="7" customWidth="1"/>
    <col min="15621" max="15621" width="11.28515625" style="7" customWidth="1"/>
    <col min="15622" max="15622" width="10.140625" style="7" customWidth="1"/>
    <col min="15623" max="15623" width="10" style="7" customWidth="1"/>
    <col min="15624" max="15624" width="8.28515625" style="7" customWidth="1"/>
    <col min="15625" max="15625" width="10.7109375" style="7" customWidth="1"/>
    <col min="15626" max="15626" width="6.42578125" style="7" customWidth="1"/>
    <col min="15627" max="15627" width="10.42578125" style="7" customWidth="1"/>
    <col min="15628" max="15628" width="12" style="7" customWidth="1"/>
    <col min="15629" max="15629" width="14.140625" style="7" customWidth="1"/>
    <col min="15630" max="15630" width="13.7109375" style="7" customWidth="1"/>
    <col min="15631" max="15631" width="14.85546875" style="7" customWidth="1"/>
    <col min="15632" max="15873" width="9.140625" style="7"/>
    <col min="15874" max="15874" width="12.85546875" style="7" customWidth="1"/>
    <col min="15875" max="15875" width="10" style="7" customWidth="1"/>
    <col min="15876" max="15876" width="17" style="7" customWidth="1"/>
    <col min="15877" max="15877" width="11.28515625" style="7" customWidth="1"/>
    <col min="15878" max="15878" width="10.140625" style="7" customWidth="1"/>
    <col min="15879" max="15879" width="10" style="7" customWidth="1"/>
    <col min="15880" max="15880" width="8.28515625" style="7" customWidth="1"/>
    <col min="15881" max="15881" width="10.7109375" style="7" customWidth="1"/>
    <col min="15882" max="15882" width="6.42578125" style="7" customWidth="1"/>
    <col min="15883" max="15883" width="10.42578125" style="7" customWidth="1"/>
    <col min="15884" max="15884" width="12" style="7" customWidth="1"/>
    <col min="15885" max="15885" width="14.140625" style="7" customWidth="1"/>
    <col min="15886" max="15886" width="13.7109375" style="7" customWidth="1"/>
    <col min="15887" max="15887" width="14.85546875" style="7" customWidth="1"/>
    <col min="15888" max="16129" width="9.140625" style="7"/>
    <col min="16130" max="16130" width="12.85546875" style="7" customWidth="1"/>
    <col min="16131" max="16131" width="10" style="7" customWidth="1"/>
    <col min="16132" max="16132" width="17" style="7" customWidth="1"/>
    <col min="16133" max="16133" width="11.28515625" style="7" customWidth="1"/>
    <col min="16134" max="16134" width="10.140625" style="7" customWidth="1"/>
    <col min="16135" max="16135" width="10" style="7" customWidth="1"/>
    <col min="16136" max="16136" width="8.28515625" style="7" customWidth="1"/>
    <col min="16137" max="16137" width="10.7109375" style="7" customWidth="1"/>
    <col min="16138" max="16138" width="6.42578125" style="7" customWidth="1"/>
    <col min="16139" max="16139" width="10.42578125" style="7" customWidth="1"/>
    <col min="16140" max="16140" width="12" style="7" customWidth="1"/>
    <col min="16141" max="16141" width="14.140625" style="7" customWidth="1"/>
    <col min="16142" max="16142" width="13.7109375" style="7" customWidth="1"/>
    <col min="16143" max="16143" width="14.85546875" style="7" customWidth="1"/>
    <col min="16144" max="16384" width="9.140625" style="7"/>
  </cols>
  <sheetData>
    <row r="1" spans="1:19" x14ac:dyDescent="0.2">
      <c r="A1" s="7" t="s">
        <v>196</v>
      </c>
      <c r="B1" s="8" t="s">
        <v>114</v>
      </c>
      <c r="C1" s="8" t="s">
        <v>115</v>
      </c>
      <c r="D1" s="8" t="s">
        <v>116</v>
      </c>
      <c r="E1" s="8" t="s">
        <v>117</v>
      </c>
      <c r="F1" s="8" t="s">
        <v>118</v>
      </c>
      <c r="G1" s="8" t="s">
        <v>119</v>
      </c>
      <c r="H1" s="8" t="s">
        <v>120</v>
      </c>
      <c r="I1" s="8" t="s">
        <v>121</v>
      </c>
      <c r="J1" s="8" t="s">
        <v>122</v>
      </c>
      <c r="K1" s="8" t="s">
        <v>123</v>
      </c>
      <c r="L1" s="8" t="s">
        <v>124</v>
      </c>
      <c r="M1" s="8" t="s">
        <v>125</v>
      </c>
      <c r="N1" s="8" t="s">
        <v>126</v>
      </c>
      <c r="O1" s="8" t="s">
        <v>127</v>
      </c>
      <c r="S1" s="8" t="s">
        <v>288</v>
      </c>
    </row>
    <row r="2" spans="1:19" x14ac:dyDescent="0.2">
      <c r="A2" s="7" t="str">
        <f t="shared" ref="A2:A62" si="0">B2&amp;C2</f>
        <v>ABCCOR1</v>
      </c>
      <c r="B2" s="9" t="s">
        <v>149</v>
      </c>
      <c r="C2" s="9" t="s">
        <v>129</v>
      </c>
      <c r="D2" s="9" t="s">
        <v>179</v>
      </c>
      <c r="E2" s="10">
        <v>44192</v>
      </c>
      <c r="F2" s="9" t="s">
        <v>130</v>
      </c>
      <c r="G2" s="9">
        <v>847</v>
      </c>
      <c r="H2" s="9">
        <v>613</v>
      </c>
      <c r="I2" s="9" t="s">
        <v>131</v>
      </c>
      <c r="J2" s="9" t="s">
        <v>293</v>
      </c>
      <c r="K2" s="9" t="s">
        <v>132</v>
      </c>
      <c r="L2" s="9" t="s">
        <v>150</v>
      </c>
      <c r="M2" s="9" t="s">
        <v>134</v>
      </c>
      <c r="N2" s="9">
        <v>68</v>
      </c>
      <c r="O2" s="9">
        <v>644.71</v>
      </c>
      <c r="S2" s="7" t="s">
        <v>280</v>
      </c>
    </row>
    <row r="3" spans="1:19" x14ac:dyDescent="0.2">
      <c r="A3" s="7" t="str">
        <f t="shared" si="0"/>
        <v>ABCCOR2</v>
      </c>
      <c r="B3" s="9" t="s">
        <v>149</v>
      </c>
      <c r="C3" s="9" t="s">
        <v>132</v>
      </c>
      <c r="D3" s="9" t="s">
        <v>179</v>
      </c>
      <c r="E3" s="10">
        <v>44192</v>
      </c>
      <c r="F3" s="9" t="s">
        <v>130</v>
      </c>
      <c r="G3" s="9">
        <v>848</v>
      </c>
      <c r="H3" s="9">
        <v>612</v>
      </c>
      <c r="I3" s="9" t="s">
        <v>131</v>
      </c>
      <c r="J3" s="9" t="s">
        <v>293</v>
      </c>
      <c r="K3" s="9" t="s">
        <v>132</v>
      </c>
      <c r="L3" s="9" t="s">
        <v>151</v>
      </c>
      <c r="M3" s="9" t="s">
        <v>134</v>
      </c>
      <c r="N3" s="9">
        <v>160</v>
      </c>
      <c r="O3" s="9">
        <v>1342.11</v>
      </c>
      <c r="S3" s="7" t="s">
        <v>281</v>
      </c>
    </row>
    <row r="4" spans="1:19" x14ac:dyDescent="0.2">
      <c r="A4" s="7" t="str">
        <f t="shared" si="0"/>
        <v>ABCCOR3</v>
      </c>
      <c r="B4" s="9" t="s">
        <v>149</v>
      </c>
      <c r="C4" s="9" t="s">
        <v>136</v>
      </c>
      <c r="D4" s="9" t="s">
        <v>179</v>
      </c>
      <c r="E4" s="10">
        <v>44192</v>
      </c>
      <c r="F4" s="9" t="s">
        <v>130</v>
      </c>
      <c r="G4" s="9">
        <v>849</v>
      </c>
      <c r="H4" s="9">
        <v>611</v>
      </c>
      <c r="I4" s="9" t="s">
        <v>131</v>
      </c>
      <c r="J4" s="9" t="s">
        <v>293</v>
      </c>
      <c r="K4" s="9" t="s">
        <v>132</v>
      </c>
      <c r="L4" s="9" t="s">
        <v>152</v>
      </c>
      <c r="M4" s="9" t="s">
        <v>134</v>
      </c>
      <c r="N4" s="9">
        <v>136</v>
      </c>
      <c r="O4" s="9">
        <v>1133.28</v>
      </c>
      <c r="S4" s="7" t="s">
        <v>318</v>
      </c>
    </row>
    <row r="5" spans="1:19" x14ac:dyDescent="0.2">
      <c r="A5" s="7" t="str">
        <f t="shared" si="0"/>
        <v>ABCCOR4</v>
      </c>
      <c r="B5" s="9" t="s">
        <v>149</v>
      </c>
      <c r="C5" s="9" t="s">
        <v>138</v>
      </c>
      <c r="D5" s="9" t="s">
        <v>179</v>
      </c>
      <c r="E5" s="10">
        <v>44192</v>
      </c>
      <c r="F5" s="9" t="s">
        <v>130</v>
      </c>
      <c r="G5" s="9">
        <v>850</v>
      </c>
      <c r="H5" s="9">
        <v>610</v>
      </c>
      <c r="I5" s="9" t="s">
        <v>131</v>
      </c>
      <c r="J5" s="9" t="s">
        <v>293</v>
      </c>
      <c r="K5" s="9" t="s">
        <v>132</v>
      </c>
      <c r="L5" s="9" t="s">
        <v>153</v>
      </c>
      <c r="M5" s="9" t="s">
        <v>134</v>
      </c>
      <c r="N5" s="9">
        <v>220</v>
      </c>
      <c r="O5" s="9">
        <v>1902.57</v>
      </c>
      <c r="S5" s="7" t="s">
        <v>311</v>
      </c>
    </row>
    <row r="6" spans="1:19" x14ac:dyDescent="0.2">
      <c r="A6" s="7" t="str">
        <f t="shared" si="0"/>
        <v>ABCEPO1</v>
      </c>
      <c r="B6" s="9" t="s">
        <v>159</v>
      </c>
      <c r="C6" s="9" t="s">
        <v>129</v>
      </c>
      <c r="D6" s="9" t="s">
        <v>179</v>
      </c>
      <c r="E6" s="10">
        <v>44192</v>
      </c>
      <c r="F6" s="9" t="s">
        <v>130</v>
      </c>
      <c r="G6" s="9">
        <v>923</v>
      </c>
      <c r="H6" s="9">
        <v>668</v>
      </c>
      <c r="I6" s="9" t="s">
        <v>131</v>
      </c>
      <c r="J6" s="9" t="s">
        <v>293</v>
      </c>
      <c r="K6" s="9" t="s">
        <v>132</v>
      </c>
      <c r="L6" s="9" t="s">
        <v>160</v>
      </c>
      <c r="M6" s="9" t="s">
        <v>134</v>
      </c>
      <c r="N6" s="9">
        <v>396</v>
      </c>
      <c r="O6" s="9">
        <v>867.3</v>
      </c>
      <c r="S6" s="7" t="s">
        <v>312</v>
      </c>
    </row>
    <row r="7" spans="1:19" x14ac:dyDescent="0.2">
      <c r="A7" s="7" t="str">
        <f t="shared" si="0"/>
        <v>ABCEPO2</v>
      </c>
      <c r="B7" s="9" t="s">
        <v>159</v>
      </c>
      <c r="C7" s="9" t="s">
        <v>132</v>
      </c>
      <c r="D7" s="9" t="s">
        <v>179</v>
      </c>
      <c r="E7" s="10">
        <v>44192</v>
      </c>
      <c r="F7" s="9" t="s">
        <v>130</v>
      </c>
      <c r="G7" s="9">
        <v>924</v>
      </c>
      <c r="H7" s="9">
        <v>669</v>
      </c>
      <c r="I7" s="9" t="s">
        <v>131</v>
      </c>
      <c r="J7" s="9" t="s">
        <v>293</v>
      </c>
      <c r="K7" s="9" t="s">
        <v>132</v>
      </c>
      <c r="L7" s="9" t="s">
        <v>161</v>
      </c>
      <c r="M7" s="9" t="s">
        <v>134</v>
      </c>
      <c r="N7" s="9">
        <v>868</v>
      </c>
      <c r="O7" s="9">
        <v>1784.97</v>
      </c>
      <c r="S7" s="7" t="s">
        <v>282</v>
      </c>
    </row>
    <row r="8" spans="1:19" x14ac:dyDescent="0.2">
      <c r="A8" s="7" t="str">
        <f t="shared" si="0"/>
        <v>ABCEPO3</v>
      </c>
      <c r="B8" s="9" t="s">
        <v>159</v>
      </c>
      <c r="C8" s="9" t="s">
        <v>136</v>
      </c>
      <c r="D8" s="9" t="s">
        <v>179</v>
      </c>
      <c r="E8" s="10">
        <v>44192</v>
      </c>
      <c r="F8" s="9" t="s">
        <v>130</v>
      </c>
      <c r="G8" s="9">
        <v>926</v>
      </c>
      <c r="H8" s="9">
        <v>670</v>
      </c>
      <c r="I8" s="9" t="s">
        <v>131</v>
      </c>
      <c r="J8" s="9" t="s">
        <v>293</v>
      </c>
      <c r="K8" s="9" t="s">
        <v>132</v>
      </c>
      <c r="L8" s="9" t="s">
        <v>163</v>
      </c>
      <c r="M8" s="9" t="s">
        <v>134</v>
      </c>
      <c r="N8" s="9">
        <v>744</v>
      </c>
      <c r="O8" s="9">
        <v>1529.94</v>
      </c>
      <c r="S8" s="7" t="s">
        <v>283</v>
      </c>
    </row>
    <row r="9" spans="1:19" x14ac:dyDescent="0.2">
      <c r="A9" s="7" t="str">
        <f t="shared" si="0"/>
        <v>ABCEPO4</v>
      </c>
      <c r="B9" s="9" t="s">
        <v>159</v>
      </c>
      <c r="C9" s="9" t="s">
        <v>138</v>
      </c>
      <c r="D9" s="9" t="s">
        <v>179</v>
      </c>
      <c r="E9" s="10">
        <v>44192</v>
      </c>
      <c r="F9" s="9" t="s">
        <v>130</v>
      </c>
      <c r="G9" s="9">
        <v>925</v>
      </c>
      <c r="H9" s="9">
        <v>671</v>
      </c>
      <c r="I9" s="9" t="s">
        <v>131</v>
      </c>
      <c r="J9" s="9" t="s">
        <v>293</v>
      </c>
      <c r="K9" s="9" t="s">
        <v>132</v>
      </c>
      <c r="L9" s="9" t="s">
        <v>162</v>
      </c>
      <c r="M9" s="9" t="s">
        <v>134</v>
      </c>
      <c r="N9" s="9">
        <v>1196</v>
      </c>
      <c r="O9" s="9">
        <v>2467.56</v>
      </c>
      <c r="S9" s="7" t="s">
        <v>284</v>
      </c>
    </row>
    <row r="10" spans="1:19" x14ac:dyDescent="0.2">
      <c r="A10" s="7" t="str">
        <f t="shared" si="0"/>
        <v>ABCPLU1</v>
      </c>
      <c r="B10" s="9" t="s">
        <v>140</v>
      </c>
      <c r="C10" s="9" t="s">
        <v>129</v>
      </c>
      <c r="D10" s="9" t="s">
        <v>179</v>
      </c>
      <c r="E10" s="10">
        <v>44192</v>
      </c>
      <c r="F10" s="9" t="s">
        <v>130</v>
      </c>
      <c r="G10" s="9">
        <v>773</v>
      </c>
      <c r="H10" s="9">
        <v>541</v>
      </c>
      <c r="I10" s="9" t="s">
        <v>131</v>
      </c>
      <c r="J10" s="9" t="s">
        <v>293</v>
      </c>
      <c r="K10" s="9" t="s">
        <v>132</v>
      </c>
      <c r="L10" s="9" t="s">
        <v>141</v>
      </c>
      <c r="M10" s="9" t="s">
        <v>134</v>
      </c>
      <c r="N10" s="9">
        <v>712</v>
      </c>
      <c r="O10" s="9">
        <v>892.95</v>
      </c>
      <c r="S10" s="7" t="s">
        <v>285</v>
      </c>
    </row>
    <row r="11" spans="1:19" x14ac:dyDescent="0.2">
      <c r="A11" s="7" t="str">
        <f t="shared" si="0"/>
        <v>ABCPLU2</v>
      </c>
      <c r="B11" s="9" t="s">
        <v>140</v>
      </c>
      <c r="C11" s="9" t="s">
        <v>132</v>
      </c>
      <c r="D11" s="9" t="s">
        <v>179</v>
      </c>
      <c r="E11" s="10">
        <v>44192</v>
      </c>
      <c r="F11" s="9" t="s">
        <v>130</v>
      </c>
      <c r="G11" s="9">
        <v>774</v>
      </c>
      <c r="H11" s="9">
        <v>542</v>
      </c>
      <c r="I11" s="9" t="s">
        <v>131</v>
      </c>
      <c r="J11" s="9" t="s">
        <v>293</v>
      </c>
      <c r="K11" s="9" t="s">
        <v>132</v>
      </c>
      <c r="L11" s="9" t="s">
        <v>142</v>
      </c>
      <c r="M11" s="9" t="s">
        <v>134</v>
      </c>
      <c r="N11" s="9">
        <v>1548</v>
      </c>
      <c r="O11" s="9">
        <v>1822.44</v>
      </c>
      <c r="S11" s="7" t="s">
        <v>286</v>
      </c>
    </row>
    <row r="12" spans="1:19" x14ac:dyDescent="0.2">
      <c r="A12" s="7" t="str">
        <f t="shared" si="0"/>
        <v>ABCPLU3</v>
      </c>
      <c r="B12" s="9" t="s">
        <v>140</v>
      </c>
      <c r="C12" s="9" t="s">
        <v>136</v>
      </c>
      <c r="D12" s="9" t="s">
        <v>179</v>
      </c>
      <c r="E12" s="10">
        <v>44192</v>
      </c>
      <c r="F12" s="9" t="s">
        <v>130</v>
      </c>
      <c r="G12" s="9">
        <v>775</v>
      </c>
      <c r="H12" s="9">
        <v>543</v>
      </c>
      <c r="I12" s="9" t="s">
        <v>131</v>
      </c>
      <c r="J12" s="9" t="s">
        <v>293</v>
      </c>
      <c r="K12" s="9" t="s">
        <v>132</v>
      </c>
      <c r="L12" s="9" t="s">
        <v>143</v>
      </c>
      <c r="M12" s="9" t="s">
        <v>134</v>
      </c>
      <c r="N12" s="9">
        <v>1328</v>
      </c>
      <c r="O12" s="9">
        <v>1560.93</v>
      </c>
      <c r="S12" s="7" t="s">
        <v>287</v>
      </c>
    </row>
    <row r="13" spans="1:19" x14ac:dyDescent="0.2">
      <c r="A13" s="7" t="str">
        <f t="shared" si="0"/>
        <v>ABCPLU4</v>
      </c>
      <c r="B13" s="9" t="s">
        <v>140</v>
      </c>
      <c r="C13" s="9" t="s">
        <v>138</v>
      </c>
      <c r="D13" s="9" t="s">
        <v>179</v>
      </c>
      <c r="E13" s="10">
        <v>44192</v>
      </c>
      <c r="F13" s="9" t="s">
        <v>130</v>
      </c>
      <c r="G13" s="9">
        <v>776</v>
      </c>
      <c r="H13" s="9">
        <v>544</v>
      </c>
      <c r="I13" s="9" t="s">
        <v>131</v>
      </c>
      <c r="J13" s="9" t="s">
        <v>293</v>
      </c>
      <c r="K13" s="9" t="s">
        <v>132</v>
      </c>
      <c r="L13" s="9" t="s">
        <v>144</v>
      </c>
      <c r="M13" s="9" t="s">
        <v>134</v>
      </c>
      <c r="N13" s="9">
        <v>2140</v>
      </c>
      <c r="O13" s="9">
        <v>2514.33</v>
      </c>
      <c r="S13" s="7" t="s">
        <v>316</v>
      </c>
    </row>
    <row r="14" spans="1:19" x14ac:dyDescent="0.2">
      <c r="A14" s="7" t="str">
        <f t="shared" si="0"/>
        <v>ABCPPO1</v>
      </c>
      <c r="B14" s="9" t="s">
        <v>145</v>
      </c>
      <c r="C14" s="9" t="s">
        <v>129</v>
      </c>
      <c r="D14" s="9" t="s">
        <v>179</v>
      </c>
      <c r="E14" s="10">
        <v>44192</v>
      </c>
      <c r="F14" s="9" t="s">
        <v>130</v>
      </c>
      <c r="G14" s="9">
        <v>956</v>
      </c>
      <c r="H14" s="9">
        <v>696</v>
      </c>
      <c r="I14" s="9" t="s">
        <v>131</v>
      </c>
      <c r="J14" s="9" t="s">
        <v>293</v>
      </c>
      <c r="K14" s="9" t="s">
        <v>132</v>
      </c>
      <c r="L14" s="9" t="s">
        <v>164</v>
      </c>
      <c r="M14" s="9" t="s">
        <v>134</v>
      </c>
      <c r="N14" s="9">
        <v>480</v>
      </c>
      <c r="O14" s="9">
        <v>872.87</v>
      </c>
      <c r="S14" s="7" t="s">
        <v>315</v>
      </c>
    </row>
    <row r="15" spans="1:19" x14ac:dyDescent="0.2">
      <c r="A15" s="7" t="str">
        <f t="shared" si="0"/>
        <v>ABCPPO2</v>
      </c>
      <c r="B15" s="9" t="s">
        <v>145</v>
      </c>
      <c r="C15" s="9" t="s">
        <v>132</v>
      </c>
      <c r="D15" s="9" t="s">
        <v>179</v>
      </c>
      <c r="E15" s="10">
        <v>44192</v>
      </c>
      <c r="F15" s="9" t="s">
        <v>130</v>
      </c>
      <c r="G15" s="9">
        <v>803</v>
      </c>
      <c r="H15" s="9">
        <v>563</v>
      </c>
      <c r="I15" s="9" t="s">
        <v>131</v>
      </c>
      <c r="J15" s="9" t="s">
        <v>293</v>
      </c>
      <c r="K15" s="9" t="s">
        <v>132</v>
      </c>
      <c r="L15" s="9" t="s">
        <v>146</v>
      </c>
      <c r="M15" s="9" t="s">
        <v>134</v>
      </c>
      <c r="N15" s="9">
        <v>1040</v>
      </c>
      <c r="O15" s="9">
        <v>1800.85</v>
      </c>
      <c r="S15" s="134" t="s">
        <v>317</v>
      </c>
    </row>
    <row r="16" spans="1:19" x14ac:dyDescent="0.2">
      <c r="A16" s="7" t="str">
        <f t="shared" si="0"/>
        <v>ABCPPO3</v>
      </c>
      <c r="B16" s="9" t="s">
        <v>145</v>
      </c>
      <c r="C16" s="9" t="s">
        <v>136</v>
      </c>
      <c r="D16" s="9" t="s">
        <v>179</v>
      </c>
      <c r="E16" s="10">
        <v>44192</v>
      </c>
      <c r="F16" s="9" t="s">
        <v>130</v>
      </c>
      <c r="G16" s="9">
        <v>804</v>
      </c>
      <c r="H16" s="9">
        <v>562</v>
      </c>
      <c r="I16" s="9" t="s">
        <v>131</v>
      </c>
      <c r="J16" s="9" t="s">
        <v>293</v>
      </c>
      <c r="K16" s="9" t="s">
        <v>132</v>
      </c>
      <c r="L16" s="9" t="s">
        <v>147</v>
      </c>
      <c r="M16" s="9" t="s">
        <v>134</v>
      </c>
      <c r="N16" s="9">
        <v>892</v>
      </c>
      <c r="O16" s="9">
        <v>1543.09</v>
      </c>
      <c r="S16" s="7" t="s">
        <v>280</v>
      </c>
    </row>
    <row r="17" spans="1:19" x14ac:dyDescent="0.2">
      <c r="A17" s="7" t="str">
        <f t="shared" si="0"/>
        <v>ABCPPO4</v>
      </c>
      <c r="B17" s="9" t="s">
        <v>145</v>
      </c>
      <c r="C17" s="9" t="s">
        <v>138</v>
      </c>
      <c r="D17" s="9" t="s">
        <v>179</v>
      </c>
      <c r="E17" s="10">
        <v>44192</v>
      </c>
      <c r="F17" s="9" t="s">
        <v>130</v>
      </c>
      <c r="G17" s="9">
        <v>805</v>
      </c>
      <c r="H17" s="9">
        <v>561</v>
      </c>
      <c r="I17" s="9" t="s">
        <v>131</v>
      </c>
      <c r="J17" s="9" t="s">
        <v>293</v>
      </c>
      <c r="K17" s="9" t="s">
        <v>132</v>
      </c>
      <c r="L17" s="9" t="s">
        <v>148</v>
      </c>
      <c r="M17" s="9" t="s">
        <v>134</v>
      </c>
      <c r="N17" s="9">
        <v>1440</v>
      </c>
      <c r="O17" s="9">
        <v>2483.12</v>
      </c>
      <c r="S17" s="7" t="s">
        <v>281</v>
      </c>
    </row>
    <row r="18" spans="1:19" x14ac:dyDescent="0.2">
      <c r="A18" s="7" t="str">
        <f t="shared" si="0"/>
        <v>HDHP1</v>
      </c>
      <c r="B18" s="9" t="s">
        <v>165</v>
      </c>
      <c r="C18" s="9" t="s">
        <v>129</v>
      </c>
      <c r="D18" s="9" t="s">
        <v>179</v>
      </c>
      <c r="E18" s="10">
        <v>44192</v>
      </c>
      <c r="F18" s="9" t="s">
        <v>130</v>
      </c>
      <c r="G18" s="9">
        <v>964</v>
      </c>
      <c r="H18" s="9">
        <v>702</v>
      </c>
      <c r="I18" s="9" t="s">
        <v>131</v>
      </c>
      <c r="J18" s="9" t="s">
        <v>293</v>
      </c>
      <c r="K18" s="9" t="s">
        <v>132</v>
      </c>
      <c r="L18" s="9" t="s">
        <v>166</v>
      </c>
      <c r="M18" s="9" t="s">
        <v>134</v>
      </c>
      <c r="N18" s="9">
        <v>204</v>
      </c>
      <c r="O18" s="9">
        <v>786.3</v>
      </c>
      <c r="S18" s="7" t="s">
        <v>318</v>
      </c>
    </row>
    <row r="19" spans="1:19" x14ac:dyDescent="0.2">
      <c r="A19" s="7" t="str">
        <f t="shared" si="0"/>
        <v>HDHP2</v>
      </c>
      <c r="B19" s="9" t="s">
        <v>165</v>
      </c>
      <c r="C19" s="9" t="s">
        <v>132</v>
      </c>
      <c r="D19" s="9" t="s">
        <v>179</v>
      </c>
      <c r="E19" s="10">
        <v>44192</v>
      </c>
      <c r="F19" s="9" t="s">
        <v>130</v>
      </c>
      <c r="G19" s="9">
        <v>965</v>
      </c>
      <c r="H19" s="9">
        <v>703</v>
      </c>
      <c r="I19" s="9" t="s">
        <v>131</v>
      </c>
      <c r="J19" s="9" t="s">
        <v>293</v>
      </c>
      <c r="K19" s="9" t="s">
        <v>132</v>
      </c>
      <c r="L19" s="9" t="s">
        <v>167</v>
      </c>
      <c r="M19" s="9" t="s">
        <v>134</v>
      </c>
      <c r="N19" s="9">
        <v>452</v>
      </c>
      <c r="O19" s="9">
        <v>1633.9</v>
      </c>
      <c r="S19" s="7" t="s">
        <v>313</v>
      </c>
    </row>
    <row r="20" spans="1:19" x14ac:dyDescent="0.2">
      <c r="A20" s="7" t="str">
        <f t="shared" si="0"/>
        <v>HDHP3</v>
      </c>
      <c r="B20" s="9" t="s">
        <v>165</v>
      </c>
      <c r="C20" s="9" t="s">
        <v>136</v>
      </c>
      <c r="D20" s="9" t="s">
        <v>179</v>
      </c>
      <c r="E20" s="10">
        <v>44192</v>
      </c>
      <c r="F20" s="9" t="s">
        <v>130</v>
      </c>
      <c r="G20" s="9">
        <v>967</v>
      </c>
      <c r="H20" s="9">
        <v>704</v>
      </c>
      <c r="I20" s="9" t="s">
        <v>131</v>
      </c>
      <c r="J20" s="9" t="s">
        <v>293</v>
      </c>
      <c r="K20" s="9" t="s">
        <v>132</v>
      </c>
      <c r="L20" s="9" t="s">
        <v>169</v>
      </c>
      <c r="M20" s="9" t="s">
        <v>134</v>
      </c>
      <c r="N20" s="9">
        <v>388</v>
      </c>
      <c r="O20" s="9">
        <v>1382.04</v>
      </c>
      <c r="S20" s="7" t="s">
        <v>312</v>
      </c>
    </row>
    <row r="21" spans="1:19" x14ac:dyDescent="0.2">
      <c r="A21" s="7" t="str">
        <f t="shared" si="0"/>
        <v>HDHP4</v>
      </c>
      <c r="B21" s="9" t="s">
        <v>165</v>
      </c>
      <c r="C21" s="9" t="s">
        <v>138</v>
      </c>
      <c r="D21" s="9" t="s">
        <v>179</v>
      </c>
      <c r="E21" s="10">
        <v>44192</v>
      </c>
      <c r="F21" s="9" t="s">
        <v>130</v>
      </c>
      <c r="G21" s="9">
        <v>966</v>
      </c>
      <c r="H21" s="9">
        <v>705</v>
      </c>
      <c r="I21" s="9" t="s">
        <v>131</v>
      </c>
      <c r="J21" s="9" t="s">
        <v>293</v>
      </c>
      <c r="K21" s="9" t="s">
        <v>132</v>
      </c>
      <c r="L21" s="9" t="s">
        <v>168</v>
      </c>
      <c r="M21" s="9" t="s">
        <v>134</v>
      </c>
      <c r="N21" s="9">
        <v>628</v>
      </c>
      <c r="O21" s="9">
        <v>2300.09</v>
      </c>
      <c r="S21" s="7" t="s">
        <v>282</v>
      </c>
    </row>
    <row r="22" spans="1:19" x14ac:dyDescent="0.2">
      <c r="A22" s="7" t="str">
        <f t="shared" si="0"/>
        <v>KHDHPN1</v>
      </c>
      <c r="B22" s="9" t="s">
        <v>266</v>
      </c>
      <c r="C22" s="9" t="s">
        <v>129</v>
      </c>
      <c r="D22" s="9" t="s">
        <v>179</v>
      </c>
      <c r="E22" s="10">
        <v>44192</v>
      </c>
      <c r="F22" s="9" t="s">
        <v>130</v>
      </c>
      <c r="G22" s="9">
        <v>1000</v>
      </c>
      <c r="H22" s="9">
        <v>729</v>
      </c>
      <c r="I22" s="9" t="s">
        <v>131</v>
      </c>
      <c r="J22" s="9" t="s">
        <v>293</v>
      </c>
      <c r="K22" s="9" t="s">
        <v>132</v>
      </c>
      <c r="L22" s="9" t="s">
        <v>267</v>
      </c>
      <c r="M22" s="9" t="s">
        <v>134</v>
      </c>
      <c r="N22" s="9">
        <v>84</v>
      </c>
      <c r="O22" s="9">
        <v>475.77</v>
      </c>
      <c r="S22" s="7" t="s">
        <v>283</v>
      </c>
    </row>
    <row r="23" spans="1:19" x14ac:dyDescent="0.2">
      <c r="A23" s="7" t="str">
        <f t="shared" si="0"/>
        <v>KHDHPN2</v>
      </c>
      <c r="B23" s="9" t="s">
        <v>266</v>
      </c>
      <c r="C23" s="9" t="s">
        <v>132</v>
      </c>
      <c r="D23" s="9" t="s">
        <v>179</v>
      </c>
      <c r="E23" s="10">
        <v>44192</v>
      </c>
      <c r="F23" s="9" t="s">
        <v>130</v>
      </c>
      <c r="G23" s="9">
        <v>1001</v>
      </c>
      <c r="H23" s="9">
        <v>730</v>
      </c>
      <c r="I23" s="9" t="s">
        <v>131</v>
      </c>
      <c r="J23" s="9" t="s">
        <v>293</v>
      </c>
      <c r="K23" s="9" t="s">
        <v>132</v>
      </c>
      <c r="L23" s="9" t="s">
        <v>268</v>
      </c>
      <c r="M23" s="9" t="s">
        <v>134</v>
      </c>
      <c r="N23" s="9">
        <v>192</v>
      </c>
      <c r="O23" s="9">
        <v>986.73</v>
      </c>
      <c r="S23" s="7" t="s">
        <v>284</v>
      </c>
    </row>
    <row r="24" spans="1:19" x14ac:dyDescent="0.2">
      <c r="A24" s="7" t="str">
        <f t="shared" si="0"/>
        <v>KHDHPN3</v>
      </c>
      <c r="B24" s="9" t="s">
        <v>266</v>
      </c>
      <c r="C24" s="9" t="s">
        <v>136</v>
      </c>
      <c r="D24" s="9" t="s">
        <v>179</v>
      </c>
      <c r="E24" s="10">
        <v>44192</v>
      </c>
      <c r="F24" s="9" t="s">
        <v>130</v>
      </c>
      <c r="G24" s="9">
        <v>1002</v>
      </c>
      <c r="H24" s="9">
        <v>731</v>
      </c>
      <c r="I24" s="9" t="s">
        <v>131</v>
      </c>
      <c r="J24" s="9" t="s">
        <v>293</v>
      </c>
      <c r="K24" s="9" t="s">
        <v>132</v>
      </c>
      <c r="L24" s="9" t="s">
        <v>269</v>
      </c>
      <c r="M24" s="9" t="s">
        <v>134</v>
      </c>
      <c r="N24" s="9">
        <v>164</v>
      </c>
      <c r="O24" s="9">
        <v>845.91</v>
      </c>
      <c r="S24" s="7" t="s">
        <v>285</v>
      </c>
    </row>
    <row r="25" spans="1:19" x14ac:dyDescent="0.2">
      <c r="A25" s="7" t="str">
        <f t="shared" si="0"/>
        <v>KHDHPN4</v>
      </c>
      <c r="B25" s="9" t="s">
        <v>266</v>
      </c>
      <c r="C25" s="9" t="s">
        <v>138</v>
      </c>
      <c r="D25" s="9" t="s">
        <v>179</v>
      </c>
      <c r="E25" s="10">
        <v>44192</v>
      </c>
      <c r="F25" s="9" t="s">
        <v>130</v>
      </c>
      <c r="G25" s="9">
        <v>1003</v>
      </c>
      <c r="H25" s="9">
        <v>732</v>
      </c>
      <c r="I25" s="9" t="s">
        <v>131</v>
      </c>
      <c r="J25" s="9" t="s">
        <v>293</v>
      </c>
      <c r="K25" s="9" t="s">
        <v>132</v>
      </c>
      <c r="L25" s="9" t="s">
        <v>270</v>
      </c>
      <c r="M25" s="9" t="s">
        <v>134</v>
      </c>
      <c r="N25" s="9">
        <v>268</v>
      </c>
      <c r="O25" s="9">
        <v>1360.89</v>
      </c>
      <c r="S25" s="7" t="s">
        <v>286</v>
      </c>
    </row>
    <row r="26" spans="1:19" x14ac:dyDescent="0.2">
      <c r="A26" s="7" t="str">
        <f t="shared" si="0"/>
        <v>KHDHPS1</v>
      </c>
      <c r="B26" s="9" t="s">
        <v>271</v>
      </c>
      <c r="C26" s="9" t="s">
        <v>129</v>
      </c>
      <c r="D26" s="9" t="s">
        <v>179</v>
      </c>
      <c r="E26" s="10">
        <v>44192</v>
      </c>
      <c r="F26" s="9" t="s">
        <v>130</v>
      </c>
      <c r="G26" s="9">
        <v>1004</v>
      </c>
      <c r="H26" s="9">
        <v>733</v>
      </c>
      <c r="I26" s="9" t="s">
        <v>131</v>
      </c>
      <c r="J26" s="9" t="s">
        <v>293</v>
      </c>
      <c r="K26" s="9" t="s">
        <v>132</v>
      </c>
      <c r="L26" s="9" t="s">
        <v>272</v>
      </c>
      <c r="M26" s="9" t="s">
        <v>134</v>
      </c>
      <c r="N26" s="9">
        <v>84</v>
      </c>
      <c r="O26" s="9">
        <v>475.77</v>
      </c>
      <c r="S26" s="7" t="s">
        <v>303</v>
      </c>
    </row>
    <row r="27" spans="1:19" x14ac:dyDescent="0.2">
      <c r="A27" s="7" t="str">
        <f t="shared" si="0"/>
        <v>KHDHPS2</v>
      </c>
      <c r="B27" s="9" t="s">
        <v>271</v>
      </c>
      <c r="C27" s="9" t="s">
        <v>132</v>
      </c>
      <c r="D27" s="9" t="s">
        <v>179</v>
      </c>
      <c r="E27" s="10">
        <v>44192</v>
      </c>
      <c r="F27" s="9" t="s">
        <v>130</v>
      </c>
      <c r="G27" s="9">
        <v>1005</v>
      </c>
      <c r="H27" s="9">
        <v>734</v>
      </c>
      <c r="I27" s="9" t="s">
        <v>131</v>
      </c>
      <c r="J27" s="9" t="s">
        <v>293</v>
      </c>
      <c r="K27" s="9" t="s">
        <v>132</v>
      </c>
      <c r="L27" s="9" t="s">
        <v>273</v>
      </c>
      <c r="M27" s="9" t="s">
        <v>134</v>
      </c>
      <c r="N27" s="9">
        <v>192</v>
      </c>
      <c r="O27" s="9">
        <v>986.73</v>
      </c>
      <c r="S27" s="7" t="s">
        <v>304</v>
      </c>
    </row>
    <row r="28" spans="1:19" x14ac:dyDescent="0.2">
      <c r="A28" s="7" t="str">
        <f t="shared" si="0"/>
        <v>KHDHPS3</v>
      </c>
      <c r="B28" s="9" t="s">
        <v>271</v>
      </c>
      <c r="C28" s="9" t="s">
        <v>136</v>
      </c>
      <c r="D28" s="9" t="s">
        <v>179</v>
      </c>
      <c r="E28" s="10">
        <v>44192</v>
      </c>
      <c r="F28" s="9" t="s">
        <v>130</v>
      </c>
      <c r="G28" s="9">
        <v>1006</v>
      </c>
      <c r="H28" s="9">
        <v>735</v>
      </c>
      <c r="I28" s="9" t="s">
        <v>131</v>
      </c>
      <c r="J28" s="9" t="s">
        <v>293</v>
      </c>
      <c r="K28" s="9" t="s">
        <v>132</v>
      </c>
      <c r="L28" s="9" t="s">
        <v>274</v>
      </c>
      <c r="M28" s="9" t="s">
        <v>134</v>
      </c>
      <c r="N28" s="9">
        <v>164</v>
      </c>
      <c r="O28" s="9">
        <v>845.91</v>
      </c>
      <c r="S28" s="7" t="s">
        <v>314</v>
      </c>
    </row>
    <row r="29" spans="1:19" x14ac:dyDescent="0.2">
      <c r="A29" s="7" t="str">
        <f t="shared" si="0"/>
        <v>KHDHPS4</v>
      </c>
      <c r="B29" s="9" t="s">
        <v>271</v>
      </c>
      <c r="C29" s="9" t="s">
        <v>138</v>
      </c>
      <c r="D29" s="9" t="s">
        <v>179</v>
      </c>
      <c r="E29" s="10">
        <v>44192</v>
      </c>
      <c r="F29" s="9" t="s">
        <v>130</v>
      </c>
      <c r="G29" s="9">
        <v>1007</v>
      </c>
      <c r="H29" s="9">
        <v>736</v>
      </c>
      <c r="I29" s="9" t="s">
        <v>131</v>
      </c>
      <c r="J29" s="9" t="s">
        <v>293</v>
      </c>
      <c r="K29" s="9" t="s">
        <v>132</v>
      </c>
      <c r="L29" s="9" t="s">
        <v>275</v>
      </c>
      <c r="M29" s="9" t="s">
        <v>134</v>
      </c>
      <c r="N29" s="9">
        <v>268</v>
      </c>
      <c r="O29" s="9">
        <v>1360.89</v>
      </c>
    </row>
    <row r="30" spans="1:19" x14ac:dyDescent="0.2">
      <c r="A30" s="7" t="str">
        <f t="shared" si="0"/>
        <v>KSRN1</v>
      </c>
      <c r="B30" s="9" t="s">
        <v>128</v>
      </c>
      <c r="C30" s="9" t="s">
        <v>129</v>
      </c>
      <c r="D30" s="9" t="s">
        <v>179</v>
      </c>
      <c r="E30" s="10">
        <v>44192</v>
      </c>
      <c r="F30" s="9" t="s">
        <v>130</v>
      </c>
      <c r="G30" s="9">
        <v>652</v>
      </c>
      <c r="H30" s="9">
        <v>416</v>
      </c>
      <c r="I30" s="9" t="s">
        <v>131</v>
      </c>
      <c r="J30" s="9" t="s">
        <v>293</v>
      </c>
      <c r="K30" s="9" t="s">
        <v>132</v>
      </c>
      <c r="L30" s="9" t="s">
        <v>133</v>
      </c>
      <c r="M30" s="9" t="s">
        <v>134</v>
      </c>
      <c r="N30" s="9">
        <v>92</v>
      </c>
      <c r="O30" s="9">
        <v>584.41999999999996</v>
      </c>
    </row>
    <row r="31" spans="1:19" x14ac:dyDescent="0.2">
      <c r="A31" s="7" t="str">
        <f t="shared" si="0"/>
        <v>KSRN2</v>
      </c>
      <c r="B31" s="9" t="s">
        <v>128</v>
      </c>
      <c r="C31" s="9" t="s">
        <v>132</v>
      </c>
      <c r="D31" s="9" t="s">
        <v>179</v>
      </c>
      <c r="E31" s="10">
        <v>44192</v>
      </c>
      <c r="F31" s="9" t="s">
        <v>130</v>
      </c>
      <c r="G31" s="9">
        <v>653</v>
      </c>
      <c r="H31" s="9">
        <v>417</v>
      </c>
      <c r="I31" s="9" t="s">
        <v>131</v>
      </c>
      <c r="J31" s="9" t="s">
        <v>293</v>
      </c>
      <c r="K31" s="9" t="s">
        <v>132</v>
      </c>
      <c r="L31" s="9" t="s">
        <v>135</v>
      </c>
      <c r="M31" s="9" t="s">
        <v>134</v>
      </c>
      <c r="N31" s="9">
        <v>208</v>
      </c>
      <c r="O31" s="9">
        <v>1212.46</v>
      </c>
      <c r="S31" s="7" t="s">
        <v>305</v>
      </c>
    </row>
    <row r="32" spans="1:19" x14ac:dyDescent="0.2">
      <c r="A32" s="7" t="str">
        <f t="shared" si="0"/>
        <v>KSRN3</v>
      </c>
      <c r="B32" s="9" t="s">
        <v>128</v>
      </c>
      <c r="C32" s="9" t="s">
        <v>136</v>
      </c>
      <c r="D32" s="9" t="s">
        <v>179</v>
      </c>
      <c r="E32" s="10">
        <v>44192</v>
      </c>
      <c r="F32" s="9" t="s">
        <v>130</v>
      </c>
      <c r="G32" s="9">
        <v>654</v>
      </c>
      <c r="H32" s="9">
        <v>418</v>
      </c>
      <c r="I32" s="9" t="s">
        <v>131</v>
      </c>
      <c r="J32" s="9" t="s">
        <v>293</v>
      </c>
      <c r="K32" s="9" t="s">
        <v>132</v>
      </c>
      <c r="L32" s="9" t="s">
        <v>137</v>
      </c>
      <c r="M32" s="9" t="s">
        <v>134</v>
      </c>
      <c r="N32" s="9">
        <v>180</v>
      </c>
      <c r="O32" s="9">
        <v>1037.54</v>
      </c>
    </row>
    <row r="33" spans="1:15" x14ac:dyDescent="0.2">
      <c r="A33" s="7" t="str">
        <f t="shared" si="0"/>
        <v>KSRN4</v>
      </c>
      <c r="B33" s="9" t="s">
        <v>128</v>
      </c>
      <c r="C33" s="9" t="s">
        <v>138</v>
      </c>
      <c r="D33" s="9" t="s">
        <v>179</v>
      </c>
      <c r="E33" s="10">
        <v>44192</v>
      </c>
      <c r="F33" s="9" t="s">
        <v>130</v>
      </c>
      <c r="G33" s="9">
        <v>655</v>
      </c>
      <c r="H33" s="9">
        <v>419</v>
      </c>
      <c r="I33" s="9" t="s">
        <v>131</v>
      </c>
      <c r="J33" s="9" t="s">
        <v>293</v>
      </c>
      <c r="K33" s="9" t="s">
        <v>132</v>
      </c>
      <c r="L33" s="9" t="s">
        <v>139</v>
      </c>
      <c r="M33" s="9" t="s">
        <v>134</v>
      </c>
      <c r="N33" s="9">
        <v>288</v>
      </c>
      <c r="O33" s="9">
        <v>1673.56</v>
      </c>
    </row>
    <row r="34" spans="1:15" x14ac:dyDescent="0.2">
      <c r="A34" s="7" t="str">
        <f t="shared" si="0"/>
        <v>KSRS1</v>
      </c>
      <c r="B34" s="9" t="s">
        <v>154</v>
      </c>
      <c r="C34" s="9" t="s">
        <v>129</v>
      </c>
      <c r="D34" s="9" t="s">
        <v>179</v>
      </c>
      <c r="E34" s="10">
        <v>44192</v>
      </c>
      <c r="F34" s="9" t="s">
        <v>130</v>
      </c>
      <c r="G34" s="9">
        <v>871</v>
      </c>
      <c r="H34" s="9">
        <v>634</v>
      </c>
      <c r="I34" s="9" t="s">
        <v>131</v>
      </c>
      <c r="J34" s="9" t="s">
        <v>293</v>
      </c>
      <c r="K34" s="9" t="s">
        <v>132</v>
      </c>
      <c r="L34" s="9" t="s">
        <v>155</v>
      </c>
      <c r="M34" s="9" t="s">
        <v>134</v>
      </c>
      <c r="N34" s="9">
        <v>92</v>
      </c>
      <c r="O34" s="9">
        <v>584.41999999999996</v>
      </c>
    </row>
    <row r="35" spans="1:15" x14ac:dyDescent="0.2">
      <c r="A35" s="7" t="str">
        <f t="shared" si="0"/>
        <v>KSRS2</v>
      </c>
      <c r="B35" s="9" t="s">
        <v>154</v>
      </c>
      <c r="C35" s="9" t="s">
        <v>132</v>
      </c>
      <c r="D35" s="9" t="s">
        <v>179</v>
      </c>
      <c r="E35" s="10">
        <v>44192</v>
      </c>
      <c r="F35" s="9" t="s">
        <v>130</v>
      </c>
      <c r="G35" s="9">
        <v>872</v>
      </c>
      <c r="H35" s="9">
        <v>635</v>
      </c>
      <c r="I35" s="9" t="s">
        <v>131</v>
      </c>
      <c r="J35" s="9" t="s">
        <v>293</v>
      </c>
      <c r="K35" s="9" t="s">
        <v>132</v>
      </c>
      <c r="L35" s="9" t="s">
        <v>156</v>
      </c>
      <c r="M35" s="9" t="s">
        <v>134</v>
      </c>
      <c r="N35" s="9">
        <v>208</v>
      </c>
      <c r="O35" s="9">
        <v>1212.46</v>
      </c>
    </row>
    <row r="36" spans="1:15" x14ac:dyDescent="0.2">
      <c r="A36" s="7" t="str">
        <f t="shared" si="0"/>
        <v>KSRS3</v>
      </c>
      <c r="B36" s="9" t="s">
        <v>154</v>
      </c>
      <c r="C36" s="9" t="s">
        <v>136</v>
      </c>
      <c r="D36" s="9" t="s">
        <v>179</v>
      </c>
      <c r="E36" s="10">
        <v>44192</v>
      </c>
      <c r="F36" s="9" t="s">
        <v>130</v>
      </c>
      <c r="G36" s="9">
        <v>873</v>
      </c>
      <c r="H36" s="9">
        <v>636</v>
      </c>
      <c r="I36" s="9" t="s">
        <v>131</v>
      </c>
      <c r="J36" s="9" t="s">
        <v>293</v>
      </c>
      <c r="K36" s="9" t="s">
        <v>132</v>
      </c>
      <c r="L36" s="9" t="s">
        <v>157</v>
      </c>
      <c r="M36" s="9" t="s">
        <v>134</v>
      </c>
      <c r="N36" s="9">
        <v>180</v>
      </c>
      <c r="O36" s="9">
        <v>1037.54</v>
      </c>
    </row>
    <row r="37" spans="1:15" x14ac:dyDescent="0.2">
      <c r="A37" s="7" t="str">
        <f t="shared" si="0"/>
        <v>KSRS4</v>
      </c>
      <c r="B37" s="9" t="s">
        <v>154</v>
      </c>
      <c r="C37" s="9" t="s">
        <v>138</v>
      </c>
      <c r="D37" s="9" t="s">
        <v>179</v>
      </c>
      <c r="E37" s="10">
        <v>44192</v>
      </c>
      <c r="F37" s="9" t="s">
        <v>130</v>
      </c>
      <c r="G37" s="9">
        <v>874</v>
      </c>
      <c r="H37" s="9">
        <v>637</v>
      </c>
      <c r="I37" s="9" t="s">
        <v>131</v>
      </c>
      <c r="J37" s="9" t="s">
        <v>293</v>
      </c>
      <c r="K37" s="9" t="s">
        <v>132</v>
      </c>
      <c r="L37" s="9" t="s">
        <v>158</v>
      </c>
      <c r="M37" s="9" t="s">
        <v>134</v>
      </c>
      <c r="N37" s="9">
        <v>288</v>
      </c>
      <c r="O37" s="9">
        <v>1673.56</v>
      </c>
    </row>
    <row r="38" spans="1:15" x14ac:dyDescent="0.2">
      <c r="A38" s="7" t="str">
        <f t="shared" si="0"/>
        <v>DLTA B1</v>
      </c>
      <c r="B38" s="9" t="s">
        <v>185</v>
      </c>
      <c r="C38" s="9" t="s">
        <v>129</v>
      </c>
      <c r="D38" s="9" t="s">
        <v>179</v>
      </c>
      <c r="E38" s="10">
        <v>44192</v>
      </c>
      <c r="F38" s="9" t="s">
        <v>186</v>
      </c>
      <c r="G38" s="9">
        <v>54</v>
      </c>
      <c r="H38" s="9">
        <v>74</v>
      </c>
      <c r="I38" s="9" t="s">
        <v>131</v>
      </c>
      <c r="J38" s="9" t="s">
        <v>293</v>
      </c>
      <c r="K38" s="9" t="s">
        <v>132</v>
      </c>
      <c r="L38" s="9" t="s">
        <v>187</v>
      </c>
      <c r="M38" s="9" t="s">
        <v>134</v>
      </c>
      <c r="N38" s="9">
        <v>0</v>
      </c>
      <c r="O38" s="9">
        <v>49.2</v>
      </c>
    </row>
    <row r="39" spans="1:15" x14ac:dyDescent="0.2">
      <c r="A39" s="7" t="str">
        <f t="shared" si="0"/>
        <v>DLTA B2</v>
      </c>
      <c r="B39" s="9" t="s">
        <v>185</v>
      </c>
      <c r="C39" s="9" t="s">
        <v>132</v>
      </c>
      <c r="D39" s="9" t="s">
        <v>179</v>
      </c>
      <c r="E39" s="10">
        <v>44192</v>
      </c>
      <c r="F39" s="9" t="s">
        <v>186</v>
      </c>
      <c r="G39" s="9">
        <v>56</v>
      </c>
      <c r="H39" s="9">
        <v>76</v>
      </c>
      <c r="I39" s="9" t="s">
        <v>131</v>
      </c>
      <c r="J39" s="9" t="s">
        <v>293</v>
      </c>
      <c r="K39" s="9" t="s">
        <v>132</v>
      </c>
      <c r="L39" s="9" t="s">
        <v>188</v>
      </c>
      <c r="M39" s="9" t="s">
        <v>134</v>
      </c>
      <c r="N39" s="9">
        <v>0</v>
      </c>
      <c r="O39" s="9">
        <v>92.6</v>
      </c>
    </row>
    <row r="40" spans="1:15" x14ac:dyDescent="0.2">
      <c r="A40" s="7" t="str">
        <f t="shared" si="0"/>
        <v>DLTA B3</v>
      </c>
      <c r="B40" s="9" t="s">
        <v>185</v>
      </c>
      <c r="C40" s="9" t="s">
        <v>136</v>
      </c>
      <c r="D40" s="9" t="s">
        <v>179</v>
      </c>
      <c r="E40" s="10">
        <v>44192</v>
      </c>
      <c r="F40" s="9" t="s">
        <v>186</v>
      </c>
      <c r="G40" s="9">
        <v>569</v>
      </c>
      <c r="H40" s="9">
        <v>336</v>
      </c>
      <c r="I40" s="9" t="s">
        <v>131</v>
      </c>
      <c r="J40" s="9" t="s">
        <v>293</v>
      </c>
      <c r="K40" s="9" t="s">
        <v>132</v>
      </c>
      <c r="L40" s="9" t="s">
        <v>190</v>
      </c>
      <c r="M40" s="9" t="s">
        <v>134</v>
      </c>
      <c r="N40" s="9">
        <v>0</v>
      </c>
      <c r="O40" s="9">
        <v>100.6</v>
      </c>
    </row>
    <row r="41" spans="1:15" x14ac:dyDescent="0.2">
      <c r="A41" s="7" t="str">
        <f t="shared" si="0"/>
        <v>DLTA B4</v>
      </c>
      <c r="B41" s="9" t="s">
        <v>185</v>
      </c>
      <c r="C41" s="9" t="s">
        <v>138</v>
      </c>
      <c r="D41" s="9" t="s">
        <v>179</v>
      </c>
      <c r="E41" s="10">
        <v>44192</v>
      </c>
      <c r="F41" s="9" t="s">
        <v>186</v>
      </c>
      <c r="G41" s="9">
        <v>58</v>
      </c>
      <c r="H41" s="9">
        <v>78</v>
      </c>
      <c r="I41" s="9" t="s">
        <v>131</v>
      </c>
      <c r="J41" s="9" t="s">
        <v>293</v>
      </c>
      <c r="K41" s="9" t="s">
        <v>132</v>
      </c>
      <c r="L41" s="9" t="s">
        <v>189</v>
      </c>
      <c r="M41" s="9" t="s">
        <v>134</v>
      </c>
      <c r="N41" s="9">
        <v>0</v>
      </c>
      <c r="O41" s="9">
        <v>163.47999999999999</v>
      </c>
    </row>
    <row r="42" spans="1:15" x14ac:dyDescent="0.2">
      <c r="A42" s="7" t="str">
        <f t="shared" si="0"/>
        <v>PMI B1</v>
      </c>
      <c r="B42" s="9" t="s">
        <v>294</v>
      </c>
      <c r="C42" s="9" t="s">
        <v>129</v>
      </c>
      <c r="D42" s="9" t="s">
        <v>179</v>
      </c>
      <c r="E42" s="10">
        <v>44192</v>
      </c>
      <c r="F42" s="9" t="s">
        <v>186</v>
      </c>
      <c r="G42" s="9">
        <v>60</v>
      </c>
      <c r="H42" s="9">
        <v>80</v>
      </c>
      <c r="I42" s="9" t="s">
        <v>131</v>
      </c>
      <c r="J42" s="9" t="s">
        <v>293</v>
      </c>
      <c r="K42" s="9" t="s">
        <v>132</v>
      </c>
      <c r="L42" s="9" t="s">
        <v>295</v>
      </c>
      <c r="M42" s="9" t="s">
        <v>134</v>
      </c>
      <c r="N42" s="9">
        <v>0</v>
      </c>
      <c r="O42" s="9">
        <v>24.86</v>
      </c>
    </row>
    <row r="43" spans="1:15" x14ac:dyDescent="0.2">
      <c r="A43" s="7" t="str">
        <f t="shared" si="0"/>
        <v>PMI B2</v>
      </c>
      <c r="B43" s="9" t="s">
        <v>294</v>
      </c>
      <c r="C43" s="9" t="s">
        <v>132</v>
      </c>
      <c r="D43" s="9" t="s">
        <v>179</v>
      </c>
      <c r="E43" s="10">
        <v>44192</v>
      </c>
      <c r="F43" s="9" t="s">
        <v>186</v>
      </c>
      <c r="G43" s="9">
        <v>62</v>
      </c>
      <c r="H43" s="9">
        <v>82</v>
      </c>
      <c r="I43" s="9" t="s">
        <v>131</v>
      </c>
      <c r="J43" s="9" t="s">
        <v>293</v>
      </c>
      <c r="K43" s="9" t="s">
        <v>132</v>
      </c>
      <c r="L43" s="9" t="s">
        <v>296</v>
      </c>
      <c r="M43" s="9" t="s">
        <v>134</v>
      </c>
      <c r="N43" s="9">
        <v>0</v>
      </c>
      <c r="O43" s="9">
        <v>42.65</v>
      </c>
    </row>
    <row r="44" spans="1:15" x14ac:dyDescent="0.2">
      <c r="A44" s="7" t="str">
        <f t="shared" si="0"/>
        <v>PMI B3</v>
      </c>
      <c r="B44" s="9" t="s">
        <v>294</v>
      </c>
      <c r="C44" s="9" t="s">
        <v>136</v>
      </c>
      <c r="D44" s="9" t="s">
        <v>179</v>
      </c>
      <c r="E44" s="10">
        <v>44192</v>
      </c>
      <c r="F44" s="9" t="s">
        <v>186</v>
      </c>
      <c r="G44" s="9">
        <v>571</v>
      </c>
      <c r="H44" s="9">
        <v>338</v>
      </c>
      <c r="I44" s="9" t="s">
        <v>131</v>
      </c>
      <c r="J44" s="9" t="s">
        <v>293</v>
      </c>
      <c r="K44" s="9" t="s">
        <v>132</v>
      </c>
      <c r="L44" s="9" t="s">
        <v>297</v>
      </c>
      <c r="M44" s="9" t="s">
        <v>134</v>
      </c>
      <c r="N44" s="9">
        <v>0</v>
      </c>
      <c r="O44" s="9">
        <v>42.94</v>
      </c>
    </row>
    <row r="45" spans="1:15" x14ac:dyDescent="0.2">
      <c r="A45" s="7" t="str">
        <f t="shared" si="0"/>
        <v>PMI B4</v>
      </c>
      <c r="B45" s="9" t="s">
        <v>294</v>
      </c>
      <c r="C45" s="9" t="s">
        <v>138</v>
      </c>
      <c r="D45" s="9" t="s">
        <v>179</v>
      </c>
      <c r="E45" s="10">
        <v>44192</v>
      </c>
      <c r="F45" s="9" t="s">
        <v>186</v>
      </c>
      <c r="G45" s="9">
        <v>64</v>
      </c>
      <c r="H45" s="9">
        <v>84</v>
      </c>
      <c r="I45" s="9" t="s">
        <v>131</v>
      </c>
      <c r="J45" s="9" t="s">
        <v>293</v>
      </c>
      <c r="K45" s="9" t="s">
        <v>132</v>
      </c>
      <c r="L45" s="9" t="s">
        <v>298</v>
      </c>
      <c r="M45" s="9" t="s">
        <v>134</v>
      </c>
      <c r="N45" s="9">
        <v>0</v>
      </c>
      <c r="O45" s="9">
        <v>61.88</v>
      </c>
    </row>
    <row r="46" spans="1:15" x14ac:dyDescent="0.2">
      <c r="A46" s="7" t="str">
        <f>B46&amp;C46</f>
        <v>VISN B1</v>
      </c>
      <c r="B46" s="9" t="s">
        <v>191</v>
      </c>
      <c r="C46" s="9" t="s">
        <v>129</v>
      </c>
      <c r="D46" s="9" t="s">
        <v>179</v>
      </c>
      <c r="E46" s="10">
        <v>44192</v>
      </c>
      <c r="F46" s="9" t="s">
        <v>180</v>
      </c>
      <c r="G46" s="9">
        <v>70</v>
      </c>
      <c r="H46" s="9">
        <v>88</v>
      </c>
      <c r="I46" s="9" t="s">
        <v>131</v>
      </c>
      <c r="J46" s="9" t="s">
        <v>293</v>
      </c>
      <c r="K46" s="9" t="s">
        <v>132</v>
      </c>
      <c r="L46" s="9" t="s">
        <v>192</v>
      </c>
      <c r="M46" s="9" t="s">
        <v>134</v>
      </c>
      <c r="N46" s="9">
        <v>0</v>
      </c>
      <c r="O46" s="9">
        <v>9.1999999999999993</v>
      </c>
    </row>
    <row r="47" spans="1:15" x14ac:dyDescent="0.2">
      <c r="A47" s="7" t="str">
        <f t="shared" ref="A47:A49" si="1">B47&amp;C47</f>
        <v>VISN B2</v>
      </c>
      <c r="B47" s="9" t="s">
        <v>191</v>
      </c>
      <c r="C47" s="9" t="s">
        <v>132</v>
      </c>
      <c r="D47" s="9" t="s">
        <v>179</v>
      </c>
      <c r="E47" s="10">
        <v>44192</v>
      </c>
      <c r="F47" s="9" t="s">
        <v>180</v>
      </c>
      <c r="G47" s="9">
        <v>71</v>
      </c>
      <c r="H47" s="9">
        <v>89</v>
      </c>
      <c r="I47" s="9" t="s">
        <v>131</v>
      </c>
      <c r="J47" s="9" t="s">
        <v>293</v>
      </c>
      <c r="K47" s="9" t="s">
        <v>132</v>
      </c>
      <c r="L47" s="9" t="s">
        <v>193</v>
      </c>
      <c r="M47" s="9" t="s">
        <v>134</v>
      </c>
      <c r="N47" s="9">
        <v>0</v>
      </c>
      <c r="O47" s="9">
        <v>18.32</v>
      </c>
    </row>
    <row r="48" spans="1:15" x14ac:dyDescent="0.2">
      <c r="A48" s="7" t="str">
        <f t="shared" si="1"/>
        <v>VISN B3</v>
      </c>
      <c r="B48" s="9" t="s">
        <v>191</v>
      </c>
      <c r="C48" s="9" t="s">
        <v>136</v>
      </c>
      <c r="D48" s="9" t="s">
        <v>179</v>
      </c>
      <c r="E48" s="10">
        <v>44192</v>
      </c>
      <c r="F48" s="9" t="s">
        <v>180</v>
      </c>
      <c r="G48" s="9">
        <v>573</v>
      </c>
      <c r="H48" s="9">
        <v>340</v>
      </c>
      <c r="I48" s="9" t="s">
        <v>131</v>
      </c>
      <c r="J48" s="9" t="s">
        <v>293</v>
      </c>
      <c r="K48" s="9" t="s">
        <v>132</v>
      </c>
      <c r="L48" s="9" t="s">
        <v>195</v>
      </c>
      <c r="M48" s="9" t="s">
        <v>134</v>
      </c>
      <c r="N48" s="9">
        <v>0</v>
      </c>
      <c r="O48" s="9">
        <v>19.64</v>
      </c>
    </row>
    <row r="49" spans="1:15" x14ac:dyDescent="0.2">
      <c r="A49" s="7" t="str">
        <f t="shared" si="1"/>
        <v>VISN B4</v>
      </c>
      <c r="B49" s="9" t="s">
        <v>191</v>
      </c>
      <c r="C49" s="9" t="s">
        <v>138</v>
      </c>
      <c r="D49" s="9" t="s">
        <v>179</v>
      </c>
      <c r="E49" s="10">
        <v>44192</v>
      </c>
      <c r="F49" s="9" t="s">
        <v>180</v>
      </c>
      <c r="G49" s="9">
        <v>72</v>
      </c>
      <c r="H49" s="9">
        <v>90</v>
      </c>
      <c r="I49" s="9" t="s">
        <v>131</v>
      </c>
      <c r="J49" s="9" t="s">
        <v>293</v>
      </c>
      <c r="K49" s="9" t="s">
        <v>132</v>
      </c>
      <c r="L49" s="9" t="s">
        <v>194</v>
      </c>
      <c r="M49" s="9" t="s">
        <v>134</v>
      </c>
      <c r="N49" s="9">
        <v>0</v>
      </c>
      <c r="O49" s="9">
        <v>31.4</v>
      </c>
    </row>
    <row r="50" spans="1:15" x14ac:dyDescent="0.2">
      <c r="A50" s="7" t="str">
        <f t="shared" si="0"/>
        <v>VSPPLU1</v>
      </c>
      <c r="B50" s="9" t="s">
        <v>178</v>
      </c>
      <c r="C50" s="9" t="s">
        <v>129</v>
      </c>
      <c r="D50" s="9" t="s">
        <v>179</v>
      </c>
      <c r="E50" s="10">
        <v>44192</v>
      </c>
      <c r="F50" s="9" t="s">
        <v>180</v>
      </c>
      <c r="G50" s="9">
        <v>989</v>
      </c>
      <c r="H50" s="9">
        <v>722</v>
      </c>
      <c r="I50" s="9" t="s">
        <v>131</v>
      </c>
      <c r="J50" s="9" t="s">
        <v>293</v>
      </c>
      <c r="K50" s="9" t="s">
        <v>132</v>
      </c>
      <c r="L50" s="9" t="s">
        <v>181</v>
      </c>
      <c r="M50" s="9" t="s">
        <v>134</v>
      </c>
      <c r="N50" s="9">
        <v>7.08</v>
      </c>
      <c r="O50" s="9">
        <v>9.1999999999999993</v>
      </c>
    </row>
    <row r="51" spans="1:15" x14ac:dyDescent="0.2">
      <c r="A51" s="7" t="str">
        <f t="shared" si="0"/>
        <v>VSPPLU2</v>
      </c>
      <c r="B51" s="9" t="s">
        <v>178</v>
      </c>
      <c r="C51" s="9" t="s">
        <v>132</v>
      </c>
      <c r="D51" s="9" t="s">
        <v>179</v>
      </c>
      <c r="E51" s="10">
        <v>44192</v>
      </c>
      <c r="F51" s="9" t="s">
        <v>180</v>
      </c>
      <c r="G51" s="9">
        <v>990</v>
      </c>
      <c r="H51" s="9">
        <v>723</v>
      </c>
      <c r="I51" s="9" t="s">
        <v>131</v>
      </c>
      <c r="J51" s="9" t="s">
        <v>293</v>
      </c>
      <c r="K51" s="9" t="s">
        <v>132</v>
      </c>
      <c r="L51" s="9" t="s">
        <v>182</v>
      </c>
      <c r="M51" s="9" t="s">
        <v>134</v>
      </c>
      <c r="N51" s="9">
        <v>14.24</v>
      </c>
      <c r="O51" s="9">
        <v>18.32</v>
      </c>
    </row>
    <row r="52" spans="1:15" x14ac:dyDescent="0.2">
      <c r="A52" s="7" t="str">
        <f t="shared" si="0"/>
        <v>VSPPLU3</v>
      </c>
      <c r="B52" s="9" t="s">
        <v>178</v>
      </c>
      <c r="C52" s="9" t="s">
        <v>136</v>
      </c>
      <c r="D52" s="9" t="s">
        <v>179</v>
      </c>
      <c r="E52" s="10">
        <v>44192</v>
      </c>
      <c r="F52" s="9" t="s">
        <v>180</v>
      </c>
      <c r="G52" s="9">
        <v>991</v>
      </c>
      <c r="H52" s="9">
        <v>724</v>
      </c>
      <c r="I52" s="9" t="s">
        <v>131</v>
      </c>
      <c r="J52" s="9" t="s">
        <v>293</v>
      </c>
      <c r="K52" s="9" t="s">
        <v>132</v>
      </c>
      <c r="L52" s="9" t="s">
        <v>183</v>
      </c>
      <c r="M52" s="9" t="s">
        <v>134</v>
      </c>
      <c r="N52" s="9">
        <v>15.24</v>
      </c>
      <c r="O52" s="9">
        <v>19.64</v>
      </c>
    </row>
    <row r="53" spans="1:15" x14ac:dyDescent="0.2">
      <c r="A53" s="7" t="str">
        <f t="shared" si="0"/>
        <v>VSPPLU4</v>
      </c>
      <c r="B53" s="9" t="s">
        <v>178</v>
      </c>
      <c r="C53" s="9" t="s">
        <v>138</v>
      </c>
      <c r="D53" s="9" t="s">
        <v>179</v>
      </c>
      <c r="E53" s="10">
        <v>44192</v>
      </c>
      <c r="F53" s="9" t="s">
        <v>180</v>
      </c>
      <c r="G53" s="9">
        <v>992</v>
      </c>
      <c r="H53" s="9">
        <v>725</v>
      </c>
      <c r="I53" s="9" t="s">
        <v>131</v>
      </c>
      <c r="J53" s="9" t="s">
        <v>293</v>
      </c>
      <c r="K53" s="9" t="s">
        <v>132</v>
      </c>
      <c r="L53" s="9" t="s">
        <v>184</v>
      </c>
      <c r="M53" s="9" t="s">
        <v>134</v>
      </c>
      <c r="N53" s="9">
        <v>24.28</v>
      </c>
      <c r="O53" s="9">
        <v>31.4</v>
      </c>
    </row>
    <row r="54" spans="1:15" x14ac:dyDescent="0.2">
      <c r="A54" s="7" t="str">
        <f t="shared" si="0"/>
        <v>LGLARA1</v>
      </c>
      <c r="B54" s="9" t="s">
        <v>170</v>
      </c>
      <c r="C54" s="9" t="s">
        <v>129</v>
      </c>
      <c r="D54" s="9" t="s">
        <v>179</v>
      </c>
      <c r="E54" s="10">
        <v>44192</v>
      </c>
      <c r="F54" s="9" t="s">
        <v>171</v>
      </c>
      <c r="G54" s="9">
        <v>859</v>
      </c>
      <c r="H54" s="9">
        <v>625</v>
      </c>
      <c r="I54" s="9" t="s">
        <v>131</v>
      </c>
      <c r="J54" s="9" t="s">
        <v>293</v>
      </c>
      <c r="K54" s="9" t="s">
        <v>132</v>
      </c>
      <c r="L54" s="9" t="s">
        <v>172</v>
      </c>
      <c r="M54" s="9" t="s">
        <v>134</v>
      </c>
      <c r="N54" s="9">
        <v>12.37</v>
      </c>
      <c r="O54" s="9">
        <v>0</v>
      </c>
    </row>
    <row r="55" spans="1:15" x14ac:dyDescent="0.2">
      <c r="A55" s="7" t="str">
        <f t="shared" si="0"/>
        <v>LGLARA2</v>
      </c>
      <c r="B55" s="9" t="s">
        <v>170</v>
      </c>
      <c r="C55" s="9" t="s">
        <v>132</v>
      </c>
      <c r="D55" s="9" t="s">
        <v>179</v>
      </c>
      <c r="E55" s="10">
        <v>44192</v>
      </c>
      <c r="F55" s="9" t="s">
        <v>171</v>
      </c>
      <c r="G55" s="9">
        <v>860</v>
      </c>
      <c r="H55" s="9">
        <v>624</v>
      </c>
      <c r="I55" s="9" t="s">
        <v>131</v>
      </c>
      <c r="J55" s="9" t="s">
        <v>293</v>
      </c>
      <c r="K55" s="9" t="s">
        <v>132</v>
      </c>
      <c r="L55" s="9" t="s">
        <v>173</v>
      </c>
      <c r="M55" s="9" t="s">
        <v>134</v>
      </c>
      <c r="N55" s="9">
        <v>16.93</v>
      </c>
      <c r="O55" s="9">
        <v>0</v>
      </c>
    </row>
    <row r="56" spans="1:15" x14ac:dyDescent="0.2">
      <c r="A56" s="7" t="str">
        <f t="shared" si="0"/>
        <v>LGLARA3</v>
      </c>
      <c r="B56" s="9" t="s">
        <v>170</v>
      </c>
      <c r="C56" s="9" t="s">
        <v>136</v>
      </c>
      <c r="D56" s="9" t="s">
        <v>179</v>
      </c>
      <c r="E56" s="10">
        <v>44192</v>
      </c>
      <c r="F56" s="9" t="s">
        <v>171</v>
      </c>
      <c r="G56" s="9">
        <v>861</v>
      </c>
      <c r="H56" s="9">
        <v>623</v>
      </c>
      <c r="I56" s="9" t="s">
        <v>131</v>
      </c>
      <c r="J56" s="9" t="s">
        <v>293</v>
      </c>
      <c r="K56" s="9" t="s">
        <v>132</v>
      </c>
      <c r="L56" s="9" t="s">
        <v>174</v>
      </c>
      <c r="M56" s="9" t="s">
        <v>134</v>
      </c>
      <c r="N56" s="9">
        <v>16.93</v>
      </c>
      <c r="O56" s="9">
        <v>0</v>
      </c>
    </row>
    <row r="57" spans="1:15" x14ac:dyDescent="0.2">
      <c r="A57" s="7" t="str">
        <f t="shared" si="0"/>
        <v>LGLARA4</v>
      </c>
      <c r="B57" s="9" t="s">
        <v>170</v>
      </c>
      <c r="C57" s="9" t="s">
        <v>138</v>
      </c>
      <c r="D57" s="9" t="s">
        <v>179</v>
      </c>
      <c r="E57" s="10">
        <v>44192</v>
      </c>
      <c r="F57" s="9" t="s">
        <v>171</v>
      </c>
      <c r="G57" s="9">
        <v>862</v>
      </c>
      <c r="H57" s="9">
        <v>622</v>
      </c>
      <c r="I57" s="9" t="s">
        <v>131</v>
      </c>
      <c r="J57" s="9" t="s">
        <v>293</v>
      </c>
      <c r="K57" s="9" t="s">
        <v>132</v>
      </c>
      <c r="L57" s="9" t="s">
        <v>175</v>
      </c>
      <c r="M57" s="9" t="s">
        <v>134</v>
      </c>
      <c r="N57" s="9">
        <v>18.440000000000001</v>
      </c>
      <c r="O57" s="9">
        <v>0</v>
      </c>
    </row>
    <row r="58" spans="1:15" x14ac:dyDescent="0.2">
      <c r="A58" s="7" t="str">
        <f t="shared" si="0"/>
        <v>DEPB</v>
      </c>
      <c r="B58" s="9" t="s">
        <v>176</v>
      </c>
      <c r="C58" s="9" t="s">
        <v>293</v>
      </c>
      <c r="D58" s="9" t="s">
        <v>179</v>
      </c>
      <c r="E58" s="10">
        <v>44192</v>
      </c>
      <c r="F58" s="9" t="s">
        <v>177</v>
      </c>
      <c r="G58" s="9">
        <v>88</v>
      </c>
      <c r="H58" s="9">
        <v>101</v>
      </c>
      <c r="I58" s="9" t="s">
        <v>131</v>
      </c>
      <c r="J58" s="9" t="s">
        <v>293</v>
      </c>
      <c r="K58" s="9" t="s">
        <v>129</v>
      </c>
      <c r="L58" s="9" t="s">
        <v>176</v>
      </c>
      <c r="M58" s="9" t="s">
        <v>176</v>
      </c>
      <c r="N58" s="9">
        <v>0.124</v>
      </c>
      <c r="O58" s="9">
        <v>0</v>
      </c>
    </row>
    <row r="59" spans="1:15" x14ac:dyDescent="0.2">
      <c r="A59" s="7" t="str">
        <f t="shared" si="0"/>
        <v>DEPB</v>
      </c>
      <c r="B59" s="9" t="s">
        <v>176</v>
      </c>
      <c r="C59" s="9" t="s">
        <v>293</v>
      </c>
      <c r="D59" s="9" t="s">
        <v>179</v>
      </c>
      <c r="E59" s="10">
        <v>44192</v>
      </c>
      <c r="F59" s="9" t="s">
        <v>177</v>
      </c>
      <c r="G59" s="9">
        <v>88</v>
      </c>
      <c r="H59" s="9">
        <v>101</v>
      </c>
      <c r="I59" s="9" t="s">
        <v>131</v>
      </c>
      <c r="J59" s="9" t="s">
        <v>293</v>
      </c>
      <c r="K59" s="9" t="s">
        <v>129</v>
      </c>
      <c r="L59" s="9" t="s">
        <v>176</v>
      </c>
      <c r="M59" s="9" t="s">
        <v>176</v>
      </c>
      <c r="N59" s="9">
        <v>0.22</v>
      </c>
      <c r="O59" s="9">
        <v>0</v>
      </c>
    </row>
    <row r="60" spans="1:15" x14ac:dyDescent="0.2">
      <c r="A60" s="7" t="str">
        <f t="shared" si="0"/>
        <v>DEPB</v>
      </c>
      <c r="B60" s="9" t="s">
        <v>176</v>
      </c>
      <c r="C60" s="9" t="s">
        <v>293</v>
      </c>
      <c r="D60" s="9" t="s">
        <v>179</v>
      </c>
      <c r="E60" s="10">
        <v>44192</v>
      </c>
      <c r="F60" s="9" t="s">
        <v>177</v>
      </c>
      <c r="G60" s="9">
        <v>88</v>
      </c>
      <c r="H60" s="9">
        <v>101</v>
      </c>
      <c r="I60" s="9" t="s">
        <v>131</v>
      </c>
      <c r="J60" s="9" t="s">
        <v>293</v>
      </c>
      <c r="K60" s="9" t="s">
        <v>129</v>
      </c>
      <c r="L60" s="9" t="s">
        <v>176</v>
      </c>
      <c r="M60" s="9" t="s">
        <v>176</v>
      </c>
      <c r="N60" s="9">
        <v>0.24299999999999999</v>
      </c>
      <c r="O60" s="9">
        <v>0</v>
      </c>
    </row>
    <row r="61" spans="1:15" x14ac:dyDescent="0.2">
      <c r="A61" s="7" t="str">
        <f t="shared" si="0"/>
        <v>DEPB</v>
      </c>
      <c r="B61" s="9" t="s">
        <v>176</v>
      </c>
      <c r="C61" s="9" t="s">
        <v>293</v>
      </c>
      <c r="D61" s="9" t="s">
        <v>179</v>
      </c>
      <c r="E61" s="10">
        <v>44192</v>
      </c>
      <c r="F61" s="9" t="s">
        <v>177</v>
      </c>
      <c r="G61" s="9">
        <v>88</v>
      </c>
      <c r="H61" s="9">
        <v>101</v>
      </c>
      <c r="I61" s="9" t="s">
        <v>131</v>
      </c>
      <c r="J61" s="9" t="s">
        <v>293</v>
      </c>
      <c r="K61" s="9" t="s">
        <v>129</v>
      </c>
      <c r="L61" s="9" t="s">
        <v>176</v>
      </c>
      <c r="M61" s="9" t="s">
        <v>176</v>
      </c>
      <c r="N61" s="9">
        <v>0.29799999999999999</v>
      </c>
      <c r="O61" s="9">
        <v>0</v>
      </c>
    </row>
    <row r="62" spans="1:15" x14ac:dyDescent="0.2">
      <c r="A62" s="7" t="str">
        <f t="shared" si="0"/>
        <v>DEPB</v>
      </c>
      <c r="B62" s="9" t="s">
        <v>176</v>
      </c>
      <c r="C62" s="9" t="s">
        <v>293</v>
      </c>
      <c r="D62" s="9" t="s">
        <v>179</v>
      </c>
      <c r="E62" s="10">
        <v>44192</v>
      </c>
      <c r="F62" s="9" t="s">
        <v>177</v>
      </c>
      <c r="G62" s="9">
        <v>88</v>
      </c>
      <c r="H62" s="9">
        <v>101</v>
      </c>
      <c r="I62" s="9" t="s">
        <v>131</v>
      </c>
      <c r="J62" s="9" t="s">
        <v>293</v>
      </c>
      <c r="K62" s="9" t="s">
        <v>129</v>
      </c>
      <c r="L62" s="9" t="s">
        <v>176</v>
      </c>
      <c r="M62" s="9" t="s">
        <v>176</v>
      </c>
      <c r="N62" s="9">
        <v>0.33900000000000002</v>
      </c>
      <c r="O62" s="9">
        <v>0</v>
      </c>
    </row>
  </sheetData>
  <autoFilter ref="B1:O62" xr:uid="{00000000-0009-0000-0000-000008000000}"/>
  <pageMargins left="0.75" right="0.75" top="1" bottom="1" header="0.5" footer="0.5"/>
  <pageSetup orientation="portrait"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Calculator</vt:lpstr>
      <vt:lpstr>Lists</vt:lpstr>
      <vt:lpstr>Medical Benefits</vt:lpstr>
      <vt:lpstr>Supplemental Life</vt:lpstr>
      <vt:lpstr>Dependent Life</vt:lpstr>
      <vt:lpstr>AD&amp;D</vt:lpstr>
      <vt:lpstr>Supplemental Disability</vt:lpstr>
      <vt:lpstr>Legal</vt:lpstr>
      <vt:lpstr>Sheet 1</vt:lpstr>
      <vt:lpstr>ADD</vt:lpstr>
      <vt:lpstr>ADD_AMT</vt:lpstr>
      <vt:lpstr>AgeGroup</vt:lpstr>
      <vt:lpstr>Bas_Lif</vt:lpstr>
      <vt:lpstr>child_lif</vt:lpstr>
      <vt:lpstr>Coverage</vt:lpstr>
      <vt:lpstr>Dental</vt:lpstr>
      <vt:lpstr>Dep_Life</vt:lpstr>
      <vt:lpstr>DLSDP_AMT</vt:lpstr>
      <vt:lpstr>Legal</vt:lpstr>
      <vt:lpstr>LifeCoverage</vt:lpstr>
      <vt:lpstr>Medical</vt:lpstr>
      <vt:lpstr>Mult</vt:lpstr>
      <vt:lpstr>Calculator!Print_Area</vt:lpstr>
      <vt:lpstr>Calculator!Print_Titles</vt:lpstr>
      <vt:lpstr>Vision</vt:lpstr>
      <vt:lpstr>wait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Anderson</dc:creator>
  <cp:lastModifiedBy>Grant, Laurie A.</cp:lastModifiedBy>
  <cp:lastPrinted>2021-02-17T22:06:26Z</cp:lastPrinted>
  <dcterms:created xsi:type="dcterms:W3CDTF">2016-11-29T00:04:55Z</dcterms:created>
  <dcterms:modified xsi:type="dcterms:W3CDTF">2021-02-17T22:11:44Z</dcterms:modified>
</cp:coreProperties>
</file>